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37260" windowHeight="23560" tabRatio="500"/>
  </bookViews>
  <sheets>
    <sheet name="2016 Japan data" sheetId="2" r:id="rId1"/>
    <sheet name="Sheet1" sheetId="7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7" i="2" l="1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26" i="2"/>
  <c r="B171" i="2"/>
  <c r="C171" i="2"/>
  <c r="D171" i="2"/>
  <c r="L121" i="2"/>
  <c r="I121" i="2"/>
  <c r="L116" i="2"/>
  <c r="L115" i="2"/>
  <c r="I113" i="2"/>
  <c r="L113" i="2"/>
  <c r="V22" i="2"/>
  <c r="V21" i="2"/>
  <c r="V18" i="2"/>
  <c r="V17" i="2"/>
  <c r="V16" i="2"/>
  <c r="V15" i="2"/>
  <c r="I112" i="2"/>
  <c r="L112" i="2"/>
  <c r="I111" i="2"/>
  <c r="L111" i="2"/>
  <c r="L110" i="2"/>
  <c r="L109" i="2"/>
  <c r="L108" i="2"/>
  <c r="G96" i="2"/>
  <c r="I96" i="2"/>
  <c r="L96" i="2"/>
  <c r="L97" i="2"/>
  <c r="L107" i="2"/>
  <c r="L106" i="2"/>
  <c r="L105" i="2"/>
  <c r="P102" i="2"/>
  <c r="P101" i="2"/>
  <c r="P73" i="2"/>
  <c r="T73" i="2"/>
  <c r="P34" i="2"/>
  <c r="T34" i="2"/>
  <c r="P26" i="2"/>
  <c r="T26" i="2"/>
  <c r="P41" i="2"/>
  <c r="T41" i="2"/>
  <c r="I79" i="2"/>
  <c r="P79" i="2"/>
  <c r="I88" i="2"/>
  <c r="P88" i="2"/>
  <c r="I87" i="2"/>
  <c r="P87" i="2"/>
  <c r="P86" i="2"/>
  <c r="P95" i="2"/>
  <c r="I94" i="2"/>
  <c r="P91" i="2"/>
  <c r="P90" i="2"/>
  <c r="I90" i="2"/>
  <c r="I92" i="2"/>
  <c r="I93" i="2"/>
  <c r="P92" i="2"/>
  <c r="P94" i="2"/>
  <c r="P93" i="2"/>
  <c r="P80" i="2"/>
  <c r="T161" i="2"/>
  <c r="T163" i="2"/>
  <c r="T162" i="2"/>
  <c r="T159" i="2"/>
  <c r="T88" i="2"/>
  <c r="T66" i="2"/>
  <c r="P70" i="2"/>
  <c r="T70" i="2"/>
  <c r="T63" i="2"/>
  <c r="T57" i="2"/>
  <c r="T64" i="2"/>
  <c r="P71" i="2"/>
  <c r="T71" i="2"/>
  <c r="P74" i="2"/>
  <c r="T74" i="2"/>
  <c r="P56" i="2"/>
  <c r="T56" i="2"/>
  <c r="P85" i="2"/>
  <c r="T85" i="2"/>
  <c r="P83" i="2"/>
  <c r="T83" i="2"/>
  <c r="P58" i="2"/>
  <c r="T58" i="2"/>
  <c r="P38" i="2"/>
  <c r="T38" i="2"/>
  <c r="P25" i="2"/>
  <c r="T25" i="2"/>
  <c r="P24" i="2"/>
  <c r="T24" i="2"/>
  <c r="P84" i="2"/>
  <c r="P82" i="2"/>
  <c r="O15" i="2"/>
  <c r="I81" i="2"/>
  <c r="P78" i="2"/>
  <c r="P81" i="2"/>
  <c r="P77" i="2"/>
  <c r="O21" i="2"/>
  <c r="N21" i="2"/>
  <c r="O19" i="2"/>
  <c r="N19" i="2"/>
  <c r="P18" i="2"/>
  <c r="O18" i="2"/>
  <c r="P17" i="2"/>
  <c r="O17" i="2"/>
  <c r="P14" i="2"/>
  <c r="O14" i="2"/>
  <c r="O20" i="2"/>
  <c r="N20" i="2"/>
  <c r="P20" i="2"/>
  <c r="P69" i="2"/>
  <c r="G70" i="2"/>
  <c r="G69" i="2"/>
  <c r="P67" i="2"/>
  <c r="G61" i="2"/>
  <c r="G66" i="2"/>
  <c r="P66" i="2"/>
  <c r="P60" i="2"/>
  <c r="G60" i="2"/>
  <c r="P59" i="2"/>
  <c r="G59" i="2"/>
  <c r="P65" i="2"/>
  <c r="G65" i="2"/>
  <c r="G64" i="2"/>
  <c r="P64" i="2"/>
  <c r="G63" i="2"/>
  <c r="P63" i="2"/>
  <c r="G62" i="2"/>
  <c r="P62" i="2"/>
  <c r="G58" i="2"/>
  <c r="G57" i="2"/>
  <c r="P57" i="2"/>
  <c r="G56" i="2"/>
  <c r="G55" i="2"/>
  <c r="G54" i="2"/>
  <c r="P54" i="2"/>
  <c r="P51" i="2"/>
  <c r="G36" i="2"/>
  <c r="P36" i="2"/>
  <c r="G51" i="2"/>
  <c r="G50" i="2"/>
  <c r="P40" i="2"/>
  <c r="G49" i="2"/>
  <c r="P48" i="2"/>
  <c r="G48" i="2"/>
  <c r="P46" i="2"/>
  <c r="G46" i="2"/>
  <c r="P45" i="2"/>
  <c r="G45" i="2"/>
  <c r="G44" i="2"/>
  <c r="P44" i="2"/>
  <c r="G43" i="2"/>
  <c r="P43" i="2"/>
  <c r="P42" i="2"/>
  <c r="G42" i="2"/>
  <c r="G41" i="2"/>
  <c r="G40" i="2"/>
  <c r="P39" i="2"/>
  <c r="G39" i="2"/>
  <c r="G38" i="2"/>
  <c r="G34" i="2"/>
  <c r="M35" i="2"/>
  <c r="L35" i="2"/>
  <c r="P35" i="2"/>
  <c r="P33" i="2"/>
  <c r="G33" i="2"/>
  <c r="P30" i="2"/>
  <c r="P31" i="2"/>
  <c r="G32" i="2"/>
  <c r="P32" i="2"/>
  <c r="G31" i="2"/>
  <c r="G30" i="2"/>
  <c r="G29" i="2"/>
  <c r="P29" i="2"/>
  <c r="P28" i="2"/>
  <c r="P27" i="2"/>
  <c r="G28" i="2"/>
  <c r="O25" i="2"/>
  <c r="N25" i="2"/>
  <c r="M25" i="2"/>
  <c r="L25" i="2"/>
  <c r="L24" i="2"/>
  <c r="M24" i="2"/>
  <c r="N24" i="2"/>
  <c r="O24" i="2"/>
  <c r="P21" i="2"/>
  <c r="P19" i="2"/>
  <c r="G26" i="2"/>
  <c r="G27" i="2"/>
  <c r="G25" i="2"/>
  <c r="G24" i="2"/>
  <c r="P12" i="2"/>
  <c r="P11" i="2"/>
  <c r="P10" i="2"/>
  <c r="P8" i="2"/>
  <c r="P7" i="2"/>
  <c r="N6" i="2"/>
  <c r="P6" i="2"/>
  <c r="P5" i="2"/>
  <c r="P4" i="2"/>
  <c r="P3" i="2"/>
  <c r="L19" i="2"/>
  <c r="L21" i="2"/>
  <c r="L20" i="2"/>
  <c r="I21" i="2"/>
  <c r="I20" i="2"/>
  <c r="I19" i="2"/>
  <c r="I18" i="2"/>
  <c r="I17" i="2"/>
  <c r="I14" i="2"/>
  <c r="I16" i="2"/>
  <c r="I15" i="2"/>
  <c r="I12" i="2"/>
  <c r="I11" i="2"/>
  <c r="I10" i="2"/>
  <c r="I2" i="2"/>
  <c r="I9" i="2"/>
  <c r="L6" i="2"/>
  <c r="C161" i="2"/>
  <c r="B160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<sst xmlns="http://schemas.openxmlformats.org/spreadsheetml/2006/main" count="493" uniqueCount="285">
  <si>
    <t>662 keV peak hgt.</t>
  </si>
  <si>
    <t>789 keV peak hgt.</t>
  </si>
  <si>
    <t>sample ID</t>
  </si>
  <si>
    <t>count time in seconds</t>
  </si>
  <si>
    <t>ND</t>
  </si>
  <si>
    <t>date run</t>
  </si>
  <si>
    <t>total counts</t>
  </si>
  <si>
    <t>cps</t>
  </si>
  <si>
    <t>Standard  Cs134</t>
  </si>
  <si>
    <t>Standard Cs137</t>
  </si>
  <si>
    <t>Xb</t>
  </si>
  <si>
    <t>Spec #</t>
  </si>
  <si>
    <t xml:space="preserve"> </t>
  </si>
  <si>
    <t>Latitude</t>
  </si>
  <si>
    <t>Longitude</t>
  </si>
  <si>
    <t>NaI well / Ortech</t>
  </si>
  <si>
    <t>Cs134 calculated Bq/smp</t>
  </si>
  <si>
    <t>Cs137 calculated Bq/smp</t>
  </si>
  <si>
    <t>Minamisouma City # 1</t>
  </si>
  <si>
    <t>NA</t>
  </si>
  <si>
    <t>NaI well</t>
  </si>
  <si>
    <t>Minamisouma City # 2</t>
  </si>
  <si>
    <t>Blank</t>
  </si>
  <si>
    <t>Tsukuba City # 3</t>
  </si>
  <si>
    <t>0.22 g</t>
  </si>
  <si>
    <t>0.25 g</t>
  </si>
  <si>
    <t>#4 Mina Koi Pond sludge dried</t>
  </si>
  <si>
    <t>2.1 g</t>
  </si>
  <si>
    <t>Cs134 calculated Bq/g</t>
  </si>
  <si>
    <t>Cs137 calculated Bq/g</t>
  </si>
  <si>
    <t>rank</t>
  </si>
  <si>
    <t>1.0 g</t>
  </si>
  <si>
    <t>Minamisouma City Hall dust 10 cm2</t>
  </si>
  <si>
    <t>est. 1 g</t>
  </si>
  <si>
    <r>
      <t>1 to 10 Bq g</t>
    </r>
    <r>
      <rPr>
        <sz val="8"/>
        <color theme="1"/>
        <rFont val="TimesNewRomanPSMT"/>
      </rPr>
      <t>-1</t>
    </r>
  </si>
  <si>
    <r>
      <t>&gt;10 to 100 Bq g</t>
    </r>
    <r>
      <rPr>
        <sz val="8"/>
        <color theme="1"/>
        <rFont val="TimesNewRomanPSMT"/>
      </rPr>
      <t>-1</t>
    </r>
  </si>
  <si>
    <t xml:space="preserve">&gt;1000 to 10000 Bq g-1 </t>
  </si>
  <si>
    <r>
      <t>&gt;100 to 1000 Bq g</t>
    </r>
    <r>
      <rPr>
        <sz val="8"/>
        <color theme="1"/>
        <rFont val="TimesNewRomanPSMT"/>
      </rPr>
      <t xml:space="preserve">-1 </t>
    </r>
    <r>
      <rPr>
        <sz val="12"/>
        <color theme="1"/>
        <rFont val="TimesNewRomanPSMT"/>
      </rPr>
      <t/>
    </r>
  </si>
  <si>
    <t xml:space="preserve">&gt;100000 Bq g-1 </t>
  </si>
  <si>
    <t>n</t>
  </si>
  <si>
    <t>mean  Bq g-1</t>
  </si>
  <si>
    <t>Cs134 calculated kBq/kg</t>
  </si>
  <si>
    <t>Cs137 calculated kBq/kg</t>
  </si>
  <si>
    <t>Total radio Cs kBq/kg</t>
  </si>
  <si>
    <t>Minamisouma 4th floor wipe</t>
  </si>
  <si>
    <t>&lt;0.2</t>
  </si>
  <si>
    <t>&lt;0.4</t>
  </si>
  <si>
    <t>&lt;0.1</t>
  </si>
  <si>
    <t>Distance from Fuku</t>
  </si>
  <si>
    <t>trace &lt;0.1</t>
  </si>
  <si>
    <t>trace &lt;0.4</t>
  </si>
  <si>
    <t>Ortech</t>
  </si>
  <si>
    <t>wgt.</t>
  </si>
  <si>
    <t>RA Sendai bath vent dec2012</t>
  </si>
  <si>
    <t>RA Sendai AC filter dec2012</t>
  </si>
  <si>
    <t>RA Sendai vac bag 2 dec2012</t>
  </si>
  <si>
    <t>RA Sendai fan dust dec2012</t>
  </si>
  <si>
    <t>other Isotopes detected         (40K not inc.)</t>
  </si>
  <si>
    <t>trace neutron act. products</t>
  </si>
  <si>
    <t>226Ra, 210Pb</t>
  </si>
  <si>
    <t>210Pb</t>
  </si>
  <si>
    <t>210Pb, 226Ra, 60Co, 241Am</t>
  </si>
  <si>
    <t>1.05 g</t>
  </si>
  <si>
    <t>0.15 g</t>
  </si>
  <si>
    <t>2 g est.</t>
  </si>
  <si>
    <t>3.68 g</t>
  </si>
  <si>
    <t>total n</t>
  </si>
  <si>
    <t>662 keV only</t>
  </si>
  <si>
    <t>795 keV only</t>
  </si>
  <si>
    <t>from CPSg</t>
  </si>
  <si>
    <t>0.5 g est.</t>
  </si>
  <si>
    <t>3.14 g</t>
  </si>
  <si>
    <t>5.15 g</t>
  </si>
  <si>
    <t>5.09 g</t>
  </si>
  <si>
    <t>0.25 g est.</t>
  </si>
  <si>
    <t>3.79 g</t>
  </si>
  <si>
    <t>0.1 g est.</t>
  </si>
  <si>
    <t>0.2 g est.</t>
  </si>
  <si>
    <t>6.39 g</t>
  </si>
  <si>
    <t>Special NM</t>
  </si>
  <si>
    <t>Ortec</t>
  </si>
  <si>
    <t>clean 137Cs peak</t>
  </si>
  <si>
    <t>2.29 g</t>
  </si>
  <si>
    <t>14.61 g</t>
  </si>
  <si>
    <t>2.14 g</t>
  </si>
  <si>
    <t>8.03 g</t>
  </si>
  <si>
    <t>14.99 g</t>
  </si>
  <si>
    <t>37.48 g</t>
  </si>
  <si>
    <t>0.11 g</t>
  </si>
  <si>
    <t>4.17 g</t>
  </si>
  <si>
    <t>0.76 g</t>
  </si>
  <si>
    <t>0.33 g</t>
  </si>
  <si>
    <t>1.17 g</t>
  </si>
  <si>
    <t>0.10 g</t>
  </si>
  <si>
    <t>1.40 g</t>
  </si>
  <si>
    <t>0.81 g</t>
  </si>
  <si>
    <t>10.30 g</t>
  </si>
  <si>
    <t>3.11 g</t>
  </si>
  <si>
    <t>1.83 g</t>
  </si>
  <si>
    <t>1.64 g</t>
  </si>
  <si>
    <t>1.88 g</t>
  </si>
  <si>
    <t>0.68 g</t>
  </si>
  <si>
    <t>5.78 g</t>
  </si>
  <si>
    <t>0.20 g</t>
  </si>
  <si>
    <t>32 cm2</t>
  </si>
  <si>
    <t>1.2 kBq/m2</t>
  </si>
  <si>
    <t>5.46 g</t>
  </si>
  <si>
    <t>0.07 g</t>
  </si>
  <si>
    <t>0.17 g</t>
  </si>
  <si>
    <t>0.74 g</t>
  </si>
  <si>
    <t>0.93 g</t>
  </si>
  <si>
    <t>0.19 g</t>
  </si>
  <si>
    <t>0.37 g</t>
  </si>
  <si>
    <t>0.73 g</t>
  </si>
  <si>
    <t>0.05 g</t>
  </si>
  <si>
    <t>&lt;1.0</t>
  </si>
  <si>
    <t>0.24 g</t>
  </si>
  <si>
    <t>3.80 g</t>
  </si>
  <si>
    <t>nGeigie uSv/hr</t>
  </si>
  <si>
    <t>1.6 kBq/m2</t>
  </si>
  <si>
    <t>nGeigie uSv/hr : no case</t>
  </si>
  <si>
    <t>Bq per sample</t>
  </si>
  <si>
    <t>nGeigie in survey mode</t>
  </si>
  <si>
    <t>Bq per sample by NaI spec.</t>
  </si>
  <si>
    <t>Bq/m3</t>
  </si>
  <si>
    <t>3m3/2</t>
  </si>
  <si>
    <t>226Ra, Th</t>
  </si>
  <si>
    <t>2.88 g</t>
  </si>
  <si>
    <t>2147, 9</t>
  </si>
  <si>
    <t>226Ra, Th, n=2</t>
  </si>
  <si>
    <t>2.01 g</t>
  </si>
  <si>
    <t>Tot = 15.7 Bq/m3</t>
  </si>
  <si>
    <t>SEM data : U/Th</t>
  </si>
  <si>
    <t>226Ra</t>
  </si>
  <si>
    <t>nGeigie in case</t>
  </si>
  <si>
    <t>2 high Zr particles</t>
  </si>
  <si>
    <t>4 high Zr particles</t>
  </si>
  <si>
    <t>7 high Pb and 1 high Zr particle</t>
  </si>
  <si>
    <t>2 high Th particles, max 11.9%</t>
  </si>
  <si>
    <r>
      <t>0.1 to 1 Bq g</t>
    </r>
    <r>
      <rPr>
        <sz val="8"/>
        <color theme="1"/>
        <rFont val="TimesNewRomanPSMT"/>
      </rPr>
      <t>-1</t>
    </r>
  </si>
  <si>
    <r>
      <t>&lt; 0.1 Bq g</t>
    </r>
    <r>
      <rPr>
        <sz val="8"/>
        <color theme="1"/>
        <rFont val="TimesNewRomanPSMT"/>
      </rPr>
      <t>-1</t>
    </r>
  </si>
  <si>
    <t>Mean calc.</t>
  </si>
  <si>
    <t>std dev</t>
  </si>
  <si>
    <t>MBq/kg</t>
  </si>
  <si>
    <t>small 210Pb</t>
  </si>
  <si>
    <t>New post-manuscript data 8/26/16</t>
  </si>
  <si>
    <t>small (226Ra, 212Pb)</t>
  </si>
  <si>
    <t>Nagoya single dust particle (&gt;10 mBg/kg)</t>
  </si>
  <si>
    <t>A</t>
  </si>
  <si>
    <t>B</t>
  </si>
  <si>
    <t>C</t>
  </si>
  <si>
    <t>B&amp;C=0.15</t>
  </si>
  <si>
    <t>A&amp;C=0.97</t>
  </si>
  <si>
    <t>case on</t>
  </si>
  <si>
    <t>case off</t>
  </si>
  <si>
    <t>gamma</t>
  </si>
  <si>
    <t>Dust (indoor) Minamisouma residence</t>
  </si>
  <si>
    <t>Dust (outdoor) and moss - Namie</t>
  </si>
  <si>
    <t xml:space="preserve">Dust (outdoor) Namie “Black Sand” </t>
  </si>
  <si>
    <t>Dust (outdoor) Iitate</t>
  </si>
  <si>
    <t>Dust (indoor) HVAC in residence</t>
  </si>
  <si>
    <t>Soil (surface) along roadway</t>
  </si>
  <si>
    <t>Dust (indoor)  Minamisouma</t>
  </si>
  <si>
    <t xml:space="preserve">Dust (outdoor) on Solar collectors </t>
  </si>
  <si>
    <t>Car filter dust, Fukushima City</t>
  </si>
  <si>
    <t>Dust (indoor) - Tokyo residence</t>
  </si>
  <si>
    <t>Soil (surface) Namie residence</t>
  </si>
  <si>
    <t>Dust (indoor) Tokyo residence</t>
  </si>
  <si>
    <t>Dust (indoor) Tokyo hotel</t>
  </si>
  <si>
    <t>Dust (outdoor) and moss - Minamisouma</t>
  </si>
  <si>
    <t xml:space="preserve">Car filter dust, Tokyo </t>
  </si>
  <si>
    <t>Dust (indoor) Minamisouma</t>
  </si>
  <si>
    <t xml:space="preserve">Dust (outdoor) Tokyo </t>
  </si>
  <si>
    <t>Soil (surface) Minamisouma</t>
  </si>
  <si>
    <t>Soil (surface) at roadway - Fukushima Pref.</t>
  </si>
  <si>
    <t>Dust (outdoor) Iitate-mura Soma-gun</t>
  </si>
  <si>
    <t>Soil (surface) - Minamisouma</t>
  </si>
  <si>
    <t>Dust (indoor) Minamisouma City Offices</t>
  </si>
  <si>
    <t>Dust (outdoor) Minamisouma</t>
  </si>
  <si>
    <t>Soil (surface) Minamisouma City Offices</t>
  </si>
  <si>
    <t>page dust Minamisouma 3/31/15-6/4/15 #JP005D</t>
  </si>
  <si>
    <t>page dust Oshigama 9-16 April 2015 #JP006D</t>
  </si>
  <si>
    <t>page dust Minamisouma 16-23 April 2015 #JP007D</t>
  </si>
  <si>
    <t>page dust Minamisouma 3-12 May 2015 #JP008D</t>
  </si>
  <si>
    <t>Slide dirt Minamisouma-shi #JP010S SEM candidt.</t>
  </si>
  <si>
    <t>Tunnel soilMinamisouma  #JP0011S</t>
  </si>
  <si>
    <t>Dusty Snow, filtered Iitate-mura Soma-gun #JP012S</t>
  </si>
  <si>
    <t>Dam rd. soil #JP013S</t>
  </si>
  <si>
    <t>Car dust #JP014D</t>
  </si>
  <si>
    <t>Slide 7-11 dust rug Minamisouma  #JP015D</t>
  </si>
  <si>
    <t>Soil #JP016S 37 38 12  140 56 39</t>
  </si>
  <si>
    <t xml:space="preserve">Soil woodland N Minamisouma  Joban EXP #JP017S </t>
  </si>
  <si>
    <t>Soil #JP018S Buddhist Temple</t>
  </si>
  <si>
    <t>Soil parking lot drain #JP019S 37 38 29 140 57 20</t>
  </si>
  <si>
    <t>Swab mens room filter #JP020D 37 17 13 140 58 57</t>
  </si>
  <si>
    <t>Swab dust AC back #JP021D 37 17 13 140 58 57</t>
  </si>
  <si>
    <t>Moss/soil #JP022B 37 35 60 140 54 27</t>
  </si>
  <si>
    <t>Slide dirt #JP023D 37 38 29  140 57 26</t>
  </si>
  <si>
    <t>Slide dust Tansport bus heater #JP024D</t>
  </si>
  <si>
    <t>Soil #JP025S 37 44 32  140 28 46</t>
  </si>
  <si>
    <t>Moss/soil #JP026S 37 44 14  140 34 34</t>
  </si>
  <si>
    <t>Moss/soil #JP027B 37 37 51 140 54 03</t>
  </si>
  <si>
    <t>Soil/mud-3 #JP028S 37 43 04  140 41 33</t>
  </si>
  <si>
    <t>Soil-4 #JP029S  37 42 08  140 43 49</t>
  </si>
  <si>
    <t>Soil soma #JP030S 37 49 31  140 57 25</t>
  </si>
  <si>
    <t>Swab bath rug dust #JP031D.1</t>
  </si>
  <si>
    <t xml:space="preserve">Slide bath rug dust #JP031D.2 </t>
  </si>
  <si>
    <t>Slide dust-2.1 #JP032D 37 50 21  140 56 16</t>
  </si>
  <si>
    <t>Slide dust Bridge #JP033D 37 14 21  141 00 21</t>
  </si>
  <si>
    <t>Slide Rest Stop Door Joban Epx Fuku #JP034D</t>
  </si>
  <si>
    <t>Slide dust #JP035D 37 43 04  140 41 33</t>
  </si>
  <si>
    <t>Slide rest.heater #JP036D 37 13 09 140 59 29</t>
  </si>
  <si>
    <t>Slice AC dust #JP037D 37 17 13 140 58 57</t>
  </si>
  <si>
    <t>Slide Air filter #JP038D</t>
  </si>
  <si>
    <t>Dust vac bag Homa house, #JP039D</t>
  </si>
  <si>
    <t>Dust Ooyama M-City Hall floor mat dust #JP040D</t>
  </si>
  <si>
    <t>Dust Ooyama Solar collectors city hall  #JP041D</t>
  </si>
  <si>
    <t>Slide K. Takano engine dust Nissan Sentra #JP042D</t>
  </si>
  <si>
    <t>Slide K. Takano floor mat  Nissan Sentra #JP043D</t>
  </si>
  <si>
    <t>Slide K. Takano air intake  Nissan Sentra #JP044D</t>
  </si>
  <si>
    <t>Dust  Filter media #JP045D</t>
  </si>
  <si>
    <t>Dust Ooyama M-city hall vending 15x23 #JP046D</t>
  </si>
  <si>
    <t>Soil Ooyama parking lot  #JP047S</t>
  </si>
  <si>
    <t>Soil parking lot sidewalk #JP048S</t>
  </si>
  <si>
    <t>Soil @ rice farm #JP049S</t>
  </si>
  <si>
    <t xml:space="preserve">Cement chip #JP050Z </t>
  </si>
  <si>
    <t>Swab dust #JP051D  37 31 45 139 59 27</t>
  </si>
  <si>
    <t>topsoil #JP052S  37 31 45 139 59 27</t>
  </si>
  <si>
    <t>Grass (roadside) #JP053B 37 19 15 141 00 26</t>
  </si>
  <si>
    <t>Moss restaurant front #JP054S 37 29 07 140 18 57</t>
  </si>
  <si>
    <t>sediment near incinerator #JP055S moss</t>
  </si>
  <si>
    <t>Ooyama sed. Parking lot drain #JP056S</t>
  </si>
  <si>
    <t>Ooyama M City split #JP057D</t>
  </si>
  <si>
    <t>Ooyama Home horiz. Shelf dust by area #JP058D</t>
  </si>
  <si>
    <t>Slide Ooyama #JP059D</t>
  </si>
  <si>
    <t>Air filter dust #JP060D</t>
  </si>
  <si>
    <t>Dust - convenience store rug #JP061S</t>
  </si>
  <si>
    <t>Swab bath vent #JP062D</t>
  </si>
  <si>
    <t>Grass near incinerator #JP063B</t>
  </si>
  <si>
    <t>oyster shell #JP064B</t>
  </si>
  <si>
    <t>Dust HVAC filter 5/14/15 #JP065D</t>
  </si>
  <si>
    <t>Dust refrigerator Suginamiku Tokyo #JP066D</t>
  </si>
  <si>
    <t>Slide dust Stair #JP067D</t>
  </si>
  <si>
    <t>Dust filter Mrs. R. Komatsu #JP068D</t>
  </si>
  <si>
    <t>Slide dust Bus trash #JP069D</t>
  </si>
  <si>
    <t>Slide dust restaurant heater #JP070D</t>
  </si>
  <si>
    <t>Slide dust low spot on rock #JP071D</t>
  </si>
  <si>
    <t>Slide seeds op. 7-11 #JP072B</t>
  </si>
  <si>
    <t>METI park soil #JP073S</t>
  </si>
  <si>
    <t>METI gutter dust #JP074D</t>
  </si>
  <si>
    <t>Half mask filter R #JP075D</t>
  </si>
  <si>
    <t>Half mask filter R stage II  #JP076D</t>
  </si>
  <si>
    <t>Slide dust 2.2 #JP077D 37 50 21 140 56 16</t>
  </si>
  <si>
    <t>Slide dust #JP078D floor of transit bus</t>
  </si>
  <si>
    <t>Slide dust #JP079D carpet d. yama 37 39 23 140 56 23</t>
  </si>
  <si>
    <t>Slide dust #JP080D Rest door mat 37 13 9 140 59 29</t>
  </si>
  <si>
    <t>Slide Dust #JP081 "5" 37 41 43 140 44 45</t>
  </si>
  <si>
    <t>Bulk vac bag dust #JP082D</t>
  </si>
  <si>
    <t>Slide dust #JP083D</t>
  </si>
  <si>
    <t>Slide dust #JP084D</t>
  </si>
  <si>
    <t>Slide dust #JP085D</t>
  </si>
  <si>
    <t>Slide dust #JP086D</t>
  </si>
  <si>
    <t>Mimanisoima City #JP/A. Gund. 3/15 #JP001D</t>
  </si>
  <si>
    <t>Mimanisoima City #JP/A. Gund. 5/15 #JP002D</t>
  </si>
  <si>
    <t>Date City #JP/A. Gund. 7/15 #JP003D</t>
  </si>
  <si>
    <t>Date City #JP/A. Gund. #JP004D</t>
  </si>
  <si>
    <t>Moss/soil @stone wall, Namie, Fuku, #JP #JP009B</t>
  </si>
  <si>
    <t>Mushroom (dry) #JP087B 2.76 g Minamisouma coastal</t>
  </si>
  <si>
    <t>soil - veggie garden #JP088S</t>
  </si>
  <si>
    <t>Vac dust #JP089D</t>
  </si>
  <si>
    <t>Soil #JP090S - bank of Edo River</t>
  </si>
  <si>
    <t>Soil #JP091S run off @base of Ichikawa Mama Shrine</t>
  </si>
  <si>
    <t xml:space="preserve">Soil #JP092S </t>
  </si>
  <si>
    <t>Soil #JP093S   Yaburemachi</t>
  </si>
  <si>
    <t xml:space="preserve">Soil #JP094S </t>
  </si>
  <si>
    <t>Soil #JP095S Namie</t>
  </si>
  <si>
    <t>Dust vac bag #JP096D</t>
  </si>
  <si>
    <t>Slide dust #JP097D Narita Airport</t>
  </si>
  <si>
    <t>Slide dust #JP098D tomioka</t>
  </si>
  <si>
    <t xml:space="preserve">Slide dust #JP099D </t>
  </si>
  <si>
    <t>Slide dust #JP100D</t>
  </si>
  <si>
    <t>Slide dust #JP101D - W. Johnston</t>
  </si>
  <si>
    <t>shoe dust #JP102D - W. Johnston</t>
  </si>
  <si>
    <t>kBq/kg</t>
  </si>
  <si>
    <t>Safecast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</si>
</sst>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NewRomanPSMT"/>
    </font>
    <font>
      <sz val="8"/>
      <color theme="1"/>
      <name val="TimesNewRomanPSMT"/>
    </font>
    <font>
      <sz val="12"/>
      <color rgb="FF008000"/>
      <name val="Calibri"/>
      <scheme val="minor"/>
    </font>
    <font>
      <b/>
      <i/>
      <sz val="12"/>
      <color theme="1"/>
      <name val="Calibri"/>
      <scheme val="minor"/>
    </font>
    <font>
      <sz val="12"/>
      <color rgb="FF008000"/>
      <name val="TimesNewRomanPSMT"/>
    </font>
    <font>
      <sz val="10"/>
      <color theme="1"/>
      <name val="Verdana"/>
    </font>
    <font>
      <sz val="12"/>
      <color theme="1"/>
      <name val="Calibri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right"/>
    </xf>
    <xf numFmtId="165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2" borderId="0" xfId="0" applyNumberForma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165" fontId="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3" fontId="0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</cellXfs>
  <cellStyles count="19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tabSelected="1" topLeftCell="A2" zoomScale="75" zoomScaleNormal="75" zoomScalePageLayoutView="75" workbookViewId="0">
      <pane ySplit="880" topLeftCell="A118" activePane="bottomLeft"/>
      <selection pane="bottomLeft" activeCell="C180" sqref="C180"/>
    </sheetView>
  </sheetViews>
  <sheetFormatPr baseColWidth="10" defaultRowHeight="23" customHeight="1" x14ac:dyDescent="0"/>
  <cols>
    <col min="1" max="1" width="43.83203125" customWidth="1"/>
    <col min="2" max="2" width="11.6640625" bestFit="1" customWidth="1"/>
    <col min="3" max="3" width="11.83203125" bestFit="1" customWidth="1"/>
    <col min="6" max="6" width="10.83203125" style="1"/>
    <col min="10" max="10" width="10.83203125" style="8"/>
    <col min="11" max="11" width="11.83203125" style="8" bestFit="1" customWidth="1"/>
    <col min="12" max="12" width="13.83203125" style="8" bestFit="1" customWidth="1"/>
    <col min="13" max="13" width="12" style="8" customWidth="1"/>
    <col min="14" max="15" width="12" customWidth="1"/>
    <col min="16" max="16" width="12.1640625" style="3" customWidth="1"/>
    <col min="17" max="17" width="28" style="8" customWidth="1"/>
    <col min="18" max="18" width="11.83203125" customWidth="1"/>
    <col min="19" max="19" width="11.5" customWidth="1"/>
    <col min="20" max="20" width="12.5" style="4" customWidth="1"/>
    <col min="21" max="21" width="4.83203125" customWidth="1"/>
  </cols>
  <sheetData>
    <row r="1" spans="1:28" s="7" customFormat="1" ht="54" customHeight="1">
      <c r="A1" s="5" t="s">
        <v>2</v>
      </c>
      <c r="B1" s="5" t="s">
        <v>13</v>
      </c>
      <c r="C1" s="5" t="s">
        <v>14</v>
      </c>
      <c r="D1" s="5" t="s">
        <v>48</v>
      </c>
      <c r="E1" s="5" t="s">
        <v>5</v>
      </c>
      <c r="F1" s="6" t="s">
        <v>11</v>
      </c>
      <c r="G1" s="5" t="s">
        <v>6</v>
      </c>
      <c r="H1" s="5" t="s">
        <v>3</v>
      </c>
      <c r="I1" s="5" t="s">
        <v>7</v>
      </c>
      <c r="J1" s="5" t="s">
        <v>15</v>
      </c>
      <c r="K1" s="5" t="s">
        <v>52</v>
      </c>
      <c r="L1" s="5" t="s">
        <v>28</v>
      </c>
      <c r="M1" s="5" t="s">
        <v>29</v>
      </c>
      <c r="N1" s="5" t="s">
        <v>41</v>
      </c>
      <c r="O1" s="5" t="s">
        <v>42</v>
      </c>
      <c r="P1" s="29" t="s">
        <v>43</v>
      </c>
      <c r="Q1" s="5" t="s">
        <v>57</v>
      </c>
      <c r="R1" s="5" t="s">
        <v>118</v>
      </c>
      <c r="S1" s="5" t="s">
        <v>120</v>
      </c>
      <c r="T1" s="18" t="s">
        <v>121</v>
      </c>
      <c r="U1" s="5" t="s">
        <v>10</v>
      </c>
      <c r="V1" s="5" t="s">
        <v>141</v>
      </c>
      <c r="W1" s="5" t="s">
        <v>0</v>
      </c>
      <c r="X1" s="5" t="s">
        <v>1</v>
      </c>
      <c r="Y1" s="5" t="s">
        <v>8</v>
      </c>
      <c r="Z1" s="5" t="s">
        <v>9</v>
      </c>
      <c r="AA1" s="5" t="s">
        <v>16</v>
      </c>
      <c r="AB1" s="5" t="s">
        <v>17</v>
      </c>
    </row>
    <row r="2" spans="1:28" s="33" customFormat="1" ht="23" customHeight="1">
      <c r="A2" s="33" t="s">
        <v>22</v>
      </c>
      <c r="F2" s="35"/>
      <c r="G2" s="33">
        <v>7892</v>
      </c>
      <c r="H2" s="33">
        <v>2157</v>
      </c>
      <c r="I2" s="36">
        <f t="shared" ref="I2:I7" si="0">G2/H2</f>
        <v>3.6587853500231802</v>
      </c>
      <c r="J2" s="37" t="s">
        <v>20</v>
      </c>
      <c r="K2" s="37"/>
      <c r="L2" s="37"/>
      <c r="M2" s="37"/>
      <c r="P2" s="36"/>
      <c r="Q2" s="37"/>
      <c r="T2" s="40"/>
      <c r="V2" s="41"/>
    </row>
    <row r="3" spans="1:28" s="33" customFormat="1" ht="23" customHeight="1">
      <c r="A3" s="33" t="s">
        <v>18</v>
      </c>
      <c r="B3" s="35">
        <v>37.641111000000002</v>
      </c>
      <c r="C3" s="35">
        <v>140.965</v>
      </c>
      <c r="E3" s="34">
        <v>42262</v>
      </c>
      <c r="F3" s="35" t="s">
        <v>19</v>
      </c>
      <c r="G3" s="33">
        <v>160900</v>
      </c>
      <c r="H3" s="33">
        <v>2657</v>
      </c>
      <c r="I3" s="40">
        <f t="shared" si="0"/>
        <v>60.557019194580356</v>
      </c>
      <c r="J3" s="37" t="s">
        <v>20</v>
      </c>
      <c r="K3" s="37" t="s">
        <v>24</v>
      </c>
      <c r="L3" s="37">
        <v>19.899999999999999</v>
      </c>
      <c r="M3" s="37">
        <v>187</v>
      </c>
      <c r="N3" s="37">
        <v>19.899999999999999</v>
      </c>
      <c r="O3" s="37">
        <v>187</v>
      </c>
      <c r="P3" s="36">
        <f>N3+O3</f>
        <v>206.9</v>
      </c>
      <c r="Q3" s="37"/>
      <c r="T3" s="40"/>
      <c r="V3" s="41"/>
    </row>
    <row r="4" spans="1:28" s="33" customFormat="1" ht="23" customHeight="1">
      <c r="A4" s="33" t="s">
        <v>21</v>
      </c>
      <c r="B4" s="33">
        <v>37.641111000000002</v>
      </c>
      <c r="C4" s="33">
        <v>140.965</v>
      </c>
      <c r="E4" s="34">
        <v>42262</v>
      </c>
      <c r="F4" s="35"/>
      <c r="G4" s="33">
        <v>269317</v>
      </c>
      <c r="H4" s="33">
        <v>48370</v>
      </c>
      <c r="I4" s="36">
        <f t="shared" si="0"/>
        <v>5.5678519743642756</v>
      </c>
      <c r="J4" s="37" t="s">
        <v>20</v>
      </c>
      <c r="K4" s="37" t="s">
        <v>25</v>
      </c>
      <c r="L4" s="37">
        <v>0.68</v>
      </c>
      <c r="M4" s="37">
        <v>3.92</v>
      </c>
      <c r="N4" s="37">
        <v>0.68</v>
      </c>
      <c r="O4" s="37">
        <v>3.92</v>
      </c>
      <c r="P4" s="36">
        <f>N4+O4</f>
        <v>4.5999999999999996</v>
      </c>
      <c r="Q4" s="37"/>
      <c r="T4" s="40"/>
      <c r="V4" s="41"/>
    </row>
    <row r="5" spans="1:28" s="33" customFormat="1" ht="23" customHeight="1">
      <c r="A5" s="33" t="s">
        <v>23</v>
      </c>
      <c r="B5" s="33">
        <v>36.090383000000003</v>
      </c>
      <c r="C5" s="33">
        <v>140.102024</v>
      </c>
      <c r="E5" s="34">
        <v>42263</v>
      </c>
      <c r="F5" s="35"/>
      <c r="G5" s="33">
        <v>55971</v>
      </c>
      <c r="H5" s="33">
        <v>8712</v>
      </c>
      <c r="I5" s="36">
        <f t="shared" si="0"/>
        <v>6.4245867768595044</v>
      </c>
      <c r="J5" s="37" t="s">
        <v>20</v>
      </c>
      <c r="K5" s="37" t="s">
        <v>31</v>
      </c>
      <c r="L5" s="37">
        <v>0.89</v>
      </c>
      <c r="M5" s="37">
        <v>3.72</v>
      </c>
      <c r="N5" s="37">
        <v>0.89</v>
      </c>
      <c r="O5" s="37">
        <v>3.72</v>
      </c>
      <c r="P5" s="36">
        <f>N5+O5</f>
        <v>4.6100000000000003</v>
      </c>
      <c r="Q5" s="37"/>
      <c r="T5" s="40"/>
      <c r="V5" s="41"/>
    </row>
    <row r="6" spans="1:28" s="33" customFormat="1" ht="23" customHeight="1">
      <c r="A6" s="33" t="s">
        <v>26</v>
      </c>
      <c r="E6" s="34">
        <v>42278</v>
      </c>
      <c r="F6" s="35"/>
      <c r="G6" s="33">
        <v>153989</v>
      </c>
      <c r="H6" s="33">
        <v>2585</v>
      </c>
      <c r="I6" s="36">
        <f t="shared" si="0"/>
        <v>59.57021276595745</v>
      </c>
      <c r="J6" s="37" t="s">
        <v>20</v>
      </c>
      <c r="K6" s="37" t="s">
        <v>27</v>
      </c>
      <c r="L6" s="37">
        <f>2*1.93</f>
        <v>3.86</v>
      </c>
      <c r="M6" s="37">
        <v>20.9</v>
      </c>
      <c r="N6" s="37">
        <f>2*1.93</f>
        <v>3.86</v>
      </c>
      <c r="O6" s="37">
        <v>20.9</v>
      </c>
      <c r="P6" s="36">
        <f>N6+O6</f>
        <v>24.759999999999998</v>
      </c>
      <c r="Q6" s="37"/>
      <c r="T6" s="40"/>
      <c r="V6" s="41"/>
    </row>
    <row r="7" spans="1:28" s="33" customFormat="1" ht="23" customHeight="1">
      <c r="A7" s="33" t="s">
        <v>32</v>
      </c>
      <c r="B7" s="33">
        <v>37.641111000000002</v>
      </c>
      <c r="C7" s="33">
        <v>140.965</v>
      </c>
      <c r="E7" s="34">
        <v>42279</v>
      </c>
      <c r="F7" s="35"/>
      <c r="G7" s="33">
        <v>54444</v>
      </c>
      <c r="H7" s="33">
        <v>3180</v>
      </c>
      <c r="I7" s="36">
        <f t="shared" si="0"/>
        <v>17.120754716981132</v>
      </c>
      <c r="J7" s="37" t="s">
        <v>20</v>
      </c>
      <c r="K7" s="37" t="s">
        <v>33</v>
      </c>
      <c r="L7" s="37">
        <v>1.76</v>
      </c>
      <c r="M7" s="37">
        <v>8.7200000000000006</v>
      </c>
      <c r="N7" s="37">
        <v>1.76</v>
      </c>
      <c r="O7" s="37">
        <v>8.7200000000000006</v>
      </c>
      <c r="P7" s="36">
        <f>N7+O7</f>
        <v>10.48</v>
      </c>
      <c r="Q7" s="37"/>
      <c r="T7" s="40"/>
    </row>
    <row r="8" spans="1:28" s="33" customFormat="1" ht="23" customHeight="1">
      <c r="A8" s="33" t="s">
        <v>44</v>
      </c>
      <c r="B8" s="33">
        <v>37.641111000000002</v>
      </c>
      <c r="C8" s="33">
        <v>140.965</v>
      </c>
      <c r="E8" s="34"/>
      <c r="F8" s="35"/>
      <c r="I8" s="36"/>
      <c r="J8" s="37"/>
      <c r="K8" s="37" t="s">
        <v>31</v>
      </c>
      <c r="L8" s="37">
        <v>12.3</v>
      </c>
      <c r="M8" s="37">
        <v>32.78</v>
      </c>
      <c r="N8" s="37"/>
      <c r="O8" s="37"/>
      <c r="P8" s="36">
        <f>L8+M8</f>
        <v>45.08</v>
      </c>
      <c r="Q8" s="37"/>
      <c r="T8" s="40"/>
      <c r="V8" s="36">
        <v>206.9</v>
      </c>
    </row>
    <row r="9" spans="1:28" s="33" customFormat="1" ht="23" customHeight="1">
      <c r="A9" s="33" t="s">
        <v>53</v>
      </c>
      <c r="B9" s="33">
        <v>38.320749999999997</v>
      </c>
      <c r="C9" s="33">
        <v>140.87655699999999</v>
      </c>
      <c r="D9" s="33">
        <v>93</v>
      </c>
      <c r="E9" s="34">
        <v>42373</v>
      </c>
      <c r="F9" s="35"/>
      <c r="G9" s="33">
        <v>6471</v>
      </c>
      <c r="H9" s="33">
        <v>1740</v>
      </c>
      <c r="I9" s="36">
        <f>G9/H9</f>
        <v>3.7189655172413794</v>
      </c>
      <c r="J9" s="37" t="s">
        <v>20</v>
      </c>
      <c r="K9" s="37">
        <v>0.37</v>
      </c>
      <c r="L9" s="37" t="s">
        <v>45</v>
      </c>
      <c r="M9" s="37" t="s">
        <v>45</v>
      </c>
      <c r="N9" s="37" t="s">
        <v>45</v>
      </c>
      <c r="O9" s="37" t="s">
        <v>45</v>
      </c>
      <c r="P9" s="42" t="s">
        <v>46</v>
      </c>
      <c r="Q9" s="37"/>
      <c r="T9" s="40"/>
      <c r="V9" s="36">
        <v>4.5999999999999996</v>
      </c>
    </row>
    <row r="10" spans="1:28" s="33" customFormat="1" ht="23" customHeight="1">
      <c r="A10" s="33" t="s">
        <v>54</v>
      </c>
      <c r="B10" s="33">
        <v>38.320749999999997</v>
      </c>
      <c r="C10" s="33">
        <v>140.87655699999999</v>
      </c>
      <c r="D10" s="33">
        <v>93</v>
      </c>
      <c r="E10" s="34">
        <v>42373</v>
      </c>
      <c r="F10" s="35"/>
      <c r="G10" s="33">
        <v>9551</v>
      </c>
      <c r="H10" s="33">
        <v>2262</v>
      </c>
      <c r="I10" s="36">
        <f>G10/H10</f>
        <v>4.2223695844385496</v>
      </c>
      <c r="J10" s="37" t="s">
        <v>20</v>
      </c>
      <c r="K10" s="37">
        <v>1.22</v>
      </c>
      <c r="L10" s="37" t="s">
        <v>47</v>
      </c>
      <c r="M10" s="37">
        <v>0.11</v>
      </c>
      <c r="N10" s="37" t="s">
        <v>47</v>
      </c>
      <c r="O10" s="37">
        <v>0.11</v>
      </c>
      <c r="P10" s="42">
        <f>0.11/0.3</f>
        <v>0.3666666666666667</v>
      </c>
      <c r="Q10" s="37"/>
      <c r="T10" s="40"/>
      <c r="V10" s="36">
        <v>4.6100000000000003</v>
      </c>
    </row>
    <row r="11" spans="1:28" s="33" customFormat="1" ht="23" customHeight="1">
      <c r="A11" s="33" t="s">
        <v>55</v>
      </c>
      <c r="B11" s="33">
        <v>38.320749999999997</v>
      </c>
      <c r="C11" s="33">
        <v>140.87655699999999</v>
      </c>
      <c r="D11" s="33">
        <v>93</v>
      </c>
      <c r="E11" s="34">
        <v>42373</v>
      </c>
      <c r="F11" s="35"/>
      <c r="G11" s="33">
        <v>12450</v>
      </c>
      <c r="H11" s="33">
        <v>3183</v>
      </c>
      <c r="I11" s="36">
        <f>G11/H11</f>
        <v>3.9114043355325165</v>
      </c>
      <c r="J11" s="37" t="s">
        <v>20</v>
      </c>
      <c r="K11" s="37">
        <v>2.41</v>
      </c>
      <c r="L11" s="37" t="s">
        <v>47</v>
      </c>
      <c r="M11" s="37" t="s">
        <v>49</v>
      </c>
      <c r="N11" s="37" t="s">
        <v>47</v>
      </c>
      <c r="O11" s="37" t="s">
        <v>49</v>
      </c>
      <c r="P11" s="42">
        <f>0.1/0.3</f>
        <v>0.33333333333333337</v>
      </c>
      <c r="Q11" s="37"/>
      <c r="T11" s="40"/>
      <c r="V11" s="36">
        <v>24.76</v>
      </c>
    </row>
    <row r="12" spans="1:28" s="33" customFormat="1" ht="23" customHeight="1">
      <c r="A12" s="33" t="s">
        <v>56</v>
      </c>
      <c r="B12" s="33">
        <v>38.320749999999997</v>
      </c>
      <c r="C12" s="33">
        <v>140.87655699999999</v>
      </c>
      <c r="D12" s="33">
        <v>93</v>
      </c>
      <c r="E12" s="34">
        <v>42373</v>
      </c>
      <c r="F12" s="35"/>
      <c r="G12" s="33">
        <v>187859</v>
      </c>
      <c r="H12" s="33">
        <v>50629</v>
      </c>
      <c r="I12" s="36">
        <f>G12/H12</f>
        <v>3.7105018862707144</v>
      </c>
      <c r="J12" s="37" t="s">
        <v>20</v>
      </c>
      <c r="K12" s="43">
        <v>0.1</v>
      </c>
      <c r="L12" s="37" t="s">
        <v>46</v>
      </c>
      <c r="M12" s="37" t="s">
        <v>50</v>
      </c>
      <c r="N12" s="37" t="s">
        <v>46</v>
      </c>
      <c r="O12" s="37" t="s">
        <v>50</v>
      </c>
      <c r="P12" s="42">
        <f>0.2/0.3</f>
        <v>0.66666666666666674</v>
      </c>
      <c r="Q12" s="37"/>
      <c r="T12" s="40"/>
      <c r="V12" s="36">
        <v>10.48</v>
      </c>
    </row>
    <row r="13" spans="1:28" s="33" customFormat="1" ht="23" customHeight="1">
      <c r="E13" s="34"/>
      <c r="F13" s="35"/>
      <c r="I13" s="36"/>
      <c r="J13" s="37"/>
      <c r="K13" s="43"/>
      <c r="L13" s="37"/>
      <c r="M13" s="37"/>
      <c r="N13" s="37"/>
      <c r="O13" s="37"/>
      <c r="P13" s="42"/>
      <c r="Q13" s="37"/>
      <c r="T13" s="40"/>
      <c r="V13" s="36">
        <v>45.08</v>
      </c>
    </row>
    <row r="14" spans="1:28" s="33" customFormat="1" ht="22" customHeight="1">
      <c r="A14" s="44" t="s">
        <v>262</v>
      </c>
      <c r="B14" s="33">
        <v>37.641111000000002</v>
      </c>
      <c r="C14" s="33">
        <v>140.965</v>
      </c>
      <c r="E14" s="34">
        <v>42423</v>
      </c>
      <c r="F14" s="35">
        <v>2067</v>
      </c>
      <c r="G14" s="33">
        <v>61980</v>
      </c>
      <c r="H14" s="33">
        <v>3600</v>
      </c>
      <c r="I14" s="36">
        <f t="shared" ref="I14:I21" si="1">G14/H14</f>
        <v>17.216666666666665</v>
      </c>
      <c r="J14" s="37" t="s">
        <v>51</v>
      </c>
      <c r="K14" s="37" t="s">
        <v>108</v>
      </c>
      <c r="L14" s="37" t="s">
        <v>4</v>
      </c>
      <c r="M14" s="37"/>
      <c r="N14" s="37" t="s">
        <v>4</v>
      </c>
      <c r="O14" s="45">
        <f>(2/0.31)*0.029/0.17</f>
        <v>1.1005692599620494</v>
      </c>
      <c r="P14" s="46">
        <f>(2/0.31)*0.171</f>
        <v>1.1032258064516132</v>
      </c>
      <c r="Q14" s="37" t="s">
        <v>61</v>
      </c>
      <c r="T14" s="40"/>
      <c r="V14" s="42">
        <v>0</v>
      </c>
    </row>
    <row r="15" spans="1:28" s="33" customFormat="1" ht="23" customHeight="1">
      <c r="A15" s="33" t="s">
        <v>263</v>
      </c>
      <c r="B15" s="33">
        <v>37.641111000000002</v>
      </c>
      <c r="C15" s="33">
        <v>140.965</v>
      </c>
      <c r="E15" s="34">
        <v>42423</v>
      </c>
      <c r="F15" s="35">
        <v>2065</v>
      </c>
      <c r="G15" s="33">
        <v>61311</v>
      </c>
      <c r="H15" s="33">
        <v>3600</v>
      </c>
      <c r="I15" s="36">
        <f t="shared" si="1"/>
        <v>17.030833333333334</v>
      </c>
      <c r="J15" s="37" t="s">
        <v>51</v>
      </c>
      <c r="K15" s="37" t="s">
        <v>116</v>
      </c>
      <c r="L15" s="37" t="s">
        <v>4</v>
      </c>
      <c r="M15" s="37"/>
      <c r="N15" s="37" t="s">
        <v>4</v>
      </c>
      <c r="O15" s="45">
        <f>((2/0.31)*41/3600)/0.24</f>
        <v>0.3061529271206691</v>
      </c>
      <c r="P15" s="46">
        <v>0.3</v>
      </c>
      <c r="Q15" s="37"/>
      <c r="T15" s="40"/>
      <c r="V15" s="42">
        <f>0.11/0.3</f>
        <v>0.3666666666666667</v>
      </c>
    </row>
    <row r="16" spans="1:28" s="33" customFormat="1" ht="23" customHeight="1">
      <c r="A16" s="33" t="s">
        <v>264</v>
      </c>
      <c r="B16" s="33">
        <v>37.818603000000003</v>
      </c>
      <c r="C16" s="33">
        <v>140.563029</v>
      </c>
      <c r="E16" s="34">
        <v>42423</v>
      </c>
      <c r="F16" s="35">
        <v>2066</v>
      </c>
      <c r="G16" s="33">
        <v>60580</v>
      </c>
      <c r="H16" s="33">
        <v>3600</v>
      </c>
      <c r="I16" s="36">
        <f t="shared" si="1"/>
        <v>16.827777777777779</v>
      </c>
      <c r="J16" s="37" t="s">
        <v>51</v>
      </c>
      <c r="K16" s="37" t="s">
        <v>114</v>
      </c>
      <c r="L16" s="37" t="s">
        <v>4</v>
      </c>
      <c r="M16" s="37"/>
      <c r="N16" s="37" t="s">
        <v>4</v>
      </c>
      <c r="O16" s="37" t="s">
        <v>115</v>
      </c>
      <c r="P16" s="46" t="s">
        <v>115</v>
      </c>
      <c r="Q16" s="37"/>
      <c r="T16" s="40"/>
      <c r="V16" s="42">
        <f>0.1/0.3</f>
        <v>0.33333333333333337</v>
      </c>
    </row>
    <row r="17" spans="1:22" s="33" customFormat="1" ht="23" customHeight="1">
      <c r="A17" s="33" t="s">
        <v>265</v>
      </c>
      <c r="B17" s="33">
        <v>37.818603000000003</v>
      </c>
      <c r="C17" s="33">
        <v>140.563029</v>
      </c>
      <c r="E17" s="34">
        <v>42423</v>
      </c>
      <c r="F17" s="35">
        <v>2068</v>
      </c>
      <c r="G17" s="33">
        <v>61244</v>
      </c>
      <c r="H17" s="33">
        <v>3600</v>
      </c>
      <c r="I17" s="36">
        <f t="shared" si="1"/>
        <v>17.012222222222221</v>
      </c>
      <c r="J17" s="37" t="s">
        <v>51</v>
      </c>
      <c r="K17" s="37" t="s">
        <v>107</v>
      </c>
      <c r="L17" s="37" t="s">
        <v>4</v>
      </c>
      <c r="M17" s="37"/>
      <c r="N17" s="37" t="s">
        <v>4</v>
      </c>
      <c r="O17" s="45">
        <f>(2/0.31)*0.41</f>
        <v>2.6451612903225805</v>
      </c>
      <c r="P17" s="46">
        <f>(2/0.31)*0.41</f>
        <v>2.6451612903225805</v>
      </c>
      <c r="Q17" s="37"/>
      <c r="T17" s="40"/>
      <c r="V17" s="42">
        <f>0.2/0.3</f>
        <v>0.66666666666666674</v>
      </c>
    </row>
    <row r="18" spans="1:22" s="33" customFormat="1" ht="23" customHeight="1">
      <c r="A18" s="33" t="s">
        <v>180</v>
      </c>
      <c r="E18" s="34">
        <v>42423</v>
      </c>
      <c r="F18" s="35">
        <v>2069</v>
      </c>
      <c r="G18" s="33">
        <v>62510</v>
      </c>
      <c r="H18" s="33">
        <v>3600</v>
      </c>
      <c r="I18" s="36">
        <f t="shared" si="1"/>
        <v>17.363888888888887</v>
      </c>
      <c r="J18" s="37" t="s">
        <v>51</v>
      </c>
      <c r="K18" s="37" t="s">
        <v>111</v>
      </c>
      <c r="L18" s="37" t="s">
        <v>4</v>
      </c>
      <c r="M18" s="37"/>
      <c r="N18" s="37" t="s">
        <v>4</v>
      </c>
      <c r="O18" s="45">
        <f>((2/0.31)*20/3600)/0.19</f>
        <v>0.18864365214110543</v>
      </c>
      <c r="P18" s="46">
        <f>((2/0.31)*20/3600)/0.19</f>
        <v>0.18864365214110543</v>
      </c>
      <c r="Q18" s="37"/>
      <c r="T18" s="40"/>
      <c r="V18" s="46">
        <f>(2/0.31)*0.171</f>
        <v>1.1032258064516132</v>
      </c>
    </row>
    <row r="19" spans="1:22" s="33" customFormat="1" ht="23" customHeight="1">
      <c r="A19" s="33" t="s">
        <v>181</v>
      </c>
      <c r="E19" s="34">
        <v>42423</v>
      </c>
      <c r="F19" s="35">
        <v>2070</v>
      </c>
      <c r="G19" s="33">
        <v>62664</v>
      </c>
      <c r="H19" s="33">
        <v>3600</v>
      </c>
      <c r="I19" s="36">
        <f t="shared" si="1"/>
        <v>17.406666666666666</v>
      </c>
      <c r="J19" s="37" t="s">
        <v>51</v>
      </c>
      <c r="K19" s="37" t="s">
        <v>103</v>
      </c>
      <c r="L19" s="38">
        <f>31/3600</f>
        <v>8.611111111111111E-3</v>
      </c>
      <c r="M19" s="37"/>
      <c r="N19" s="43">
        <f>((2/0.31)*31/3600)/0.2</f>
        <v>0.27777777777777779</v>
      </c>
      <c r="O19" s="45">
        <f>((2/0.31)*51/3600)/0.2</f>
        <v>0.45698924731182794</v>
      </c>
      <c r="P19" s="46">
        <f>O19+N19</f>
        <v>0.73476702508960567</v>
      </c>
      <c r="Q19" s="37" t="s">
        <v>58</v>
      </c>
      <c r="T19" s="40"/>
      <c r="V19" s="46">
        <v>0.3</v>
      </c>
    </row>
    <row r="20" spans="1:22" s="33" customFormat="1" ht="23" customHeight="1">
      <c r="A20" s="33" t="s">
        <v>182</v>
      </c>
      <c r="E20" s="34">
        <v>42423</v>
      </c>
      <c r="F20" s="35">
        <v>2071</v>
      </c>
      <c r="G20" s="33">
        <v>61537</v>
      </c>
      <c r="H20" s="33">
        <v>3600</v>
      </c>
      <c r="I20" s="36">
        <f t="shared" si="1"/>
        <v>17.093611111111112</v>
      </c>
      <c r="J20" s="37" t="s">
        <v>51</v>
      </c>
      <c r="K20" s="37" t="s">
        <v>110</v>
      </c>
      <c r="L20" s="38">
        <f>16/3600</f>
        <v>4.4444444444444444E-3</v>
      </c>
      <c r="M20" s="37"/>
      <c r="N20" s="43">
        <f>(2/0.31)*(16/3600)/0.93</f>
        <v>3.0832080780051646E-2</v>
      </c>
      <c r="O20" s="45">
        <f>(2/0.31)*(28/3600)/0.93</f>
        <v>5.3956141365090374E-2</v>
      </c>
      <c r="P20" s="46">
        <f>O20+N20</f>
        <v>8.478822214514202E-2</v>
      </c>
      <c r="Q20" s="37" t="s">
        <v>59</v>
      </c>
      <c r="T20" s="40"/>
      <c r="V20" s="46">
        <v>0</v>
      </c>
    </row>
    <row r="21" spans="1:22" s="33" customFormat="1" ht="23" customHeight="1">
      <c r="A21" s="33" t="s">
        <v>183</v>
      </c>
      <c r="E21" s="34">
        <v>42423</v>
      </c>
      <c r="F21" s="35">
        <v>2072</v>
      </c>
      <c r="G21" s="33">
        <v>61719</v>
      </c>
      <c r="H21" s="33">
        <v>3600</v>
      </c>
      <c r="I21" s="36">
        <f t="shared" si="1"/>
        <v>17.144166666666667</v>
      </c>
      <c r="J21" s="37" t="s">
        <v>51</v>
      </c>
      <c r="K21" s="37" t="s">
        <v>112</v>
      </c>
      <c r="L21" s="38">
        <f>23/3600</f>
        <v>6.3888888888888893E-3</v>
      </c>
      <c r="M21" s="37"/>
      <c r="N21" s="43">
        <f>((2/0.31)*23/3600)/0.37</f>
        <v>0.11140172430495013</v>
      </c>
      <c r="O21" s="45">
        <f>((2/0.31)*54/3600)/0.37</f>
        <v>0.26155187445510031</v>
      </c>
      <c r="P21" s="46">
        <f>O21+N21</f>
        <v>0.37295359876005041</v>
      </c>
      <c r="Q21" s="37" t="s">
        <v>60</v>
      </c>
      <c r="T21" s="40"/>
      <c r="V21" s="46">
        <f>(2/0.31)*0.41</f>
        <v>2.6451612903225805</v>
      </c>
    </row>
    <row r="22" spans="1:22" s="33" customFormat="1" ht="23" customHeight="1">
      <c r="E22" s="34"/>
      <c r="F22" s="35"/>
      <c r="I22" s="36"/>
      <c r="J22" s="37"/>
      <c r="K22" s="37"/>
      <c r="L22" s="38"/>
      <c r="M22" s="37"/>
      <c r="N22" s="38"/>
      <c r="O22" s="37"/>
      <c r="P22" s="43"/>
      <c r="Q22" s="37"/>
      <c r="T22" s="40"/>
      <c r="V22" s="46">
        <f>((2/0.31)*20/3600)/0.19</f>
        <v>0.18864365214110543</v>
      </c>
    </row>
    <row r="23" spans="1:22" s="33" customFormat="1" ht="23" customHeight="1">
      <c r="E23" s="34"/>
      <c r="F23" s="35"/>
      <c r="I23" s="36"/>
      <c r="J23" s="37"/>
      <c r="K23" s="37"/>
      <c r="L23" s="38" t="s">
        <v>68</v>
      </c>
      <c r="M23" s="37" t="s">
        <v>67</v>
      </c>
      <c r="N23" s="37" t="s">
        <v>69</v>
      </c>
      <c r="O23" s="37" t="s">
        <v>69</v>
      </c>
      <c r="P23" s="43" t="s">
        <v>69</v>
      </c>
      <c r="Q23" s="37"/>
      <c r="T23" s="40"/>
      <c r="V23" s="46">
        <v>0.73</v>
      </c>
    </row>
    <row r="24" spans="1:22" s="33" customFormat="1" ht="23" customHeight="1">
      <c r="A24" s="33" t="s">
        <v>266</v>
      </c>
      <c r="B24" s="33">
        <v>37.515000000000001</v>
      </c>
      <c r="C24" s="33">
        <v>140.940833</v>
      </c>
      <c r="E24" s="34">
        <v>42429</v>
      </c>
      <c r="F24" s="35">
        <v>2081</v>
      </c>
      <c r="G24" s="47">
        <f>3600.1*I24</f>
        <v>410771.41</v>
      </c>
      <c r="H24" s="33">
        <v>3600</v>
      </c>
      <c r="I24" s="36">
        <v>114.1</v>
      </c>
      <c r="J24" s="37" t="s">
        <v>80</v>
      </c>
      <c r="K24" s="37" t="s">
        <v>62</v>
      </c>
      <c r="L24" s="45">
        <f>(2/0.31)*(8399/3600.5)/1.05</f>
        <v>14.333220061815103</v>
      </c>
      <c r="M24" s="45">
        <f>(2/0.31)*(82169/3600.5)/1.05</f>
        <v>140.22459331578585</v>
      </c>
      <c r="N24" s="45">
        <f>P24*(8399/(82169+8399))</f>
        <v>55.214810207529986</v>
      </c>
      <c r="O24" s="45">
        <f>P24*(82169/(82169+8399))</f>
        <v>540.17689486159441</v>
      </c>
      <c r="P24" s="39">
        <f>(I24-17.2)*((2/0.31)/1.05)</f>
        <v>595.39170506912444</v>
      </c>
      <c r="Q24" s="37" t="s">
        <v>138</v>
      </c>
      <c r="R24" s="33">
        <v>0.251</v>
      </c>
      <c r="S24" s="48">
        <v>4.24</v>
      </c>
      <c r="T24" s="40">
        <f>P24*1.05</f>
        <v>625.16129032258073</v>
      </c>
      <c r="V24" s="46">
        <v>0.08</v>
      </c>
    </row>
    <row r="25" spans="1:22" s="33" customFormat="1" ht="23" customHeight="1">
      <c r="A25" s="33" t="s">
        <v>184</v>
      </c>
      <c r="B25" s="33">
        <v>37.599719999999998</v>
      </c>
      <c r="C25" s="33">
        <v>140.85749999999999</v>
      </c>
      <c r="E25" s="34">
        <v>42429</v>
      </c>
      <c r="F25" s="35">
        <v>2082</v>
      </c>
      <c r="G25" s="33">
        <f t="shared" ref="G25:G36" si="2">H25*I25</f>
        <v>100080</v>
      </c>
      <c r="H25" s="33">
        <v>3600</v>
      </c>
      <c r="I25" s="36">
        <v>27.8</v>
      </c>
      <c r="J25" s="37" t="s">
        <v>80</v>
      </c>
      <c r="K25" s="37" t="s">
        <v>63</v>
      </c>
      <c r="L25" s="45">
        <f>(2/0.31)*(1164/3600.2)/0.15</f>
        <v>13.906037478204619</v>
      </c>
      <c r="M25" s="45">
        <f>(2/0.31)*(8286/3600.2)/0.15</f>
        <v>98.990916275260716</v>
      </c>
      <c r="N25" s="45">
        <f>P25*(1164/(8286+1164))</f>
        <v>56.157023382829848</v>
      </c>
      <c r="O25" s="45">
        <f>P25*(8286/(8286+1164))</f>
        <v>399.75695511179396</v>
      </c>
      <c r="P25" s="39">
        <f>(I25-17.2)*((2/0.31)/0.15)</f>
        <v>455.91397849462379</v>
      </c>
      <c r="Q25" s="37"/>
      <c r="T25" s="40">
        <f>P25*0.15</f>
        <v>68.387096774193566</v>
      </c>
      <c r="V25" s="46">
        <v>0.37</v>
      </c>
    </row>
    <row r="26" spans="1:22" s="33" customFormat="1" ht="23" customHeight="1">
      <c r="A26" s="33" t="s">
        <v>185</v>
      </c>
      <c r="B26" s="33">
        <v>37.542499999999997</v>
      </c>
      <c r="C26" s="33">
        <v>140.86250000000001</v>
      </c>
      <c r="E26" s="34">
        <v>42429</v>
      </c>
      <c r="F26" s="35">
        <v>2084</v>
      </c>
      <c r="G26" s="33">
        <f t="shared" si="2"/>
        <v>145890</v>
      </c>
      <c r="H26" s="33">
        <v>900</v>
      </c>
      <c r="I26" s="33">
        <v>162.1</v>
      </c>
      <c r="J26" s="37" t="s">
        <v>80</v>
      </c>
      <c r="K26" s="37">
        <v>3.75</v>
      </c>
      <c r="L26" s="38"/>
      <c r="M26" s="37"/>
      <c r="N26" s="37"/>
      <c r="O26" s="37"/>
      <c r="P26" s="39">
        <f>(I26-17.2)*((2/0.31)/3.75)</f>
        <v>249.29032258064518</v>
      </c>
      <c r="Q26" s="37" t="s">
        <v>135</v>
      </c>
      <c r="R26" s="48">
        <v>0.28999999999999998</v>
      </c>
      <c r="S26" s="33">
        <v>3.198</v>
      </c>
      <c r="T26" s="40">
        <f>P26*3.75</f>
        <v>934.83870967741939</v>
      </c>
      <c r="V26" s="39">
        <v>595.39</v>
      </c>
    </row>
    <row r="27" spans="1:22" s="33" customFormat="1" ht="23" customHeight="1">
      <c r="A27" s="33" t="s">
        <v>186</v>
      </c>
      <c r="B27" s="33">
        <v>37.630833000000003</v>
      </c>
      <c r="C27" s="33">
        <v>140.78472199999999</v>
      </c>
      <c r="E27" s="34">
        <v>42429</v>
      </c>
      <c r="F27" s="35">
        <v>2083</v>
      </c>
      <c r="G27" s="33">
        <f t="shared" si="2"/>
        <v>56550.000000000007</v>
      </c>
      <c r="H27" s="33">
        <v>1500</v>
      </c>
      <c r="I27" s="36">
        <v>37.700000000000003</v>
      </c>
      <c r="J27" s="37" t="s">
        <v>80</v>
      </c>
      <c r="K27" s="37" t="s">
        <v>64</v>
      </c>
      <c r="L27" s="37"/>
      <c r="M27" s="37"/>
      <c r="P27" s="39">
        <f>(I27-17.2)*((2/0.31)/2)</f>
        <v>66.129032258064527</v>
      </c>
      <c r="Q27" s="37"/>
      <c r="T27" s="40"/>
      <c r="V27" s="39">
        <v>455.91</v>
      </c>
    </row>
    <row r="28" spans="1:22" s="33" customFormat="1" ht="23" customHeight="1">
      <c r="A28" s="33" t="s">
        <v>187</v>
      </c>
      <c r="B28" s="33">
        <v>37.573610000000002</v>
      </c>
      <c r="C28" s="33">
        <v>140.88</v>
      </c>
      <c r="E28" s="34">
        <v>42429</v>
      </c>
      <c r="F28" s="35">
        <v>2085</v>
      </c>
      <c r="G28" s="33">
        <f t="shared" si="2"/>
        <v>247572</v>
      </c>
      <c r="H28" s="33">
        <v>2340</v>
      </c>
      <c r="I28" s="36">
        <v>105.8</v>
      </c>
      <c r="J28" s="37" t="s">
        <v>80</v>
      </c>
      <c r="K28" s="37" t="s">
        <v>65</v>
      </c>
      <c r="L28" s="37"/>
      <c r="M28" s="37"/>
      <c r="P28" s="39">
        <f>(I28-17.2)*((2/0.31)/3.68)</f>
        <v>155.32959326788219</v>
      </c>
      <c r="Q28" s="37"/>
      <c r="T28" s="40"/>
      <c r="V28" s="39">
        <v>245.29</v>
      </c>
    </row>
    <row r="29" spans="1:22" s="33" customFormat="1" ht="23" customHeight="1">
      <c r="A29" s="33" t="s">
        <v>188</v>
      </c>
      <c r="B29" s="49">
        <v>37.643774999999998</v>
      </c>
      <c r="C29" s="49">
        <v>140.59985280000001</v>
      </c>
      <c r="E29" s="34">
        <v>42429</v>
      </c>
      <c r="F29" s="35">
        <v>2086</v>
      </c>
      <c r="G29" s="33">
        <f t="shared" si="2"/>
        <v>33264</v>
      </c>
      <c r="H29" s="33">
        <v>1890</v>
      </c>
      <c r="I29" s="36">
        <v>17.600000000000001</v>
      </c>
      <c r="J29" s="37" t="s">
        <v>80</v>
      </c>
      <c r="K29" s="37" t="s">
        <v>70</v>
      </c>
      <c r="L29" s="37"/>
      <c r="M29" s="37"/>
      <c r="P29" s="39">
        <f>(I29-17.2)*((2/0.31)/0.5)</f>
        <v>5.1612903225806734</v>
      </c>
      <c r="Q29" s="37"/>
      <c r="T29" s="40"/>
      <c r="V29" s="39">
        <v>66.13</v>
      </c>
    </row>
    <row r="30" spans="1:22" s="33" customFormat="1" ht="23" customHeight="1">
      <c r="A30" s="33" t="s">
        <v>189</v>
      </c>
      <c r="B30" s="50">
        <v>37.637770000000003</v>
      </c>
      <c r="C30" s="50">
        <v>140.96440000000001</v>
      </c>
      <c r="E30" s="34">
        <v>42429</v>
      </c>
      <c r="F30" s="35">
        <v>2087</v>
      </c>
      <c r="G30" s="33">
        <f t="shared" si="2"/>
        <v>62280</v>
      </c>
      <c r="H30" s="33">
        <v>3600</v>
      </c>
      <c r="I30" s="36">
        <v>17.3</v>
      </c>
      <c r="J30" s="37" t="s">
        <v>80</v>
      </c>
      <c r="K30" s="37" t="s">
        <v>74</v>
      </c>
      <c r="L30" s="37"/>
      <c r="M30" s="37"/>
      <c r="P30" s="39">
        <f>(I30-17.2)*((2/0.31)/0.25)</f>
        <v>2.5806451612903594</v>
      </c>
      <c r="Q30" s="37"/>
      <c r="T30" s="40"/>
      <c r="V30" s="39">
        <v>155.33000000000001</v>
      </c>
    </row>
    <row r="31" spans="1:22" s="33" customFormat="1" ht="23" customHeight="1">
      <c r="A31" s="33" t="s">
        <v>190</v>
      </c>
      <c r="B31" s="50">
        <v>37.636667000000003</v>
      </c>
      <c r="C31" s="50">
        <v>140.94416699999999</v>
      </c>
      <c r="E31" s="34">
        <v>42430</v>
      </c>
      <c r="F31" s="35">
        <v>2088</v>
      </c>
      <c r="G31" s="33">
        <f t="shared" si="2"/>
        <v>262080</v>
      </c>
      <c r="H31" s="33">
        <v>3600</v>
      </c>
      <c r="I31" s="36">
        <v>72.8</v>
      </c>
      <c r="J31" s="37" t="s">
        <v>80</v>
      </c>
      <c r="K31" s="37" t="s">
        <v>71</v>
      </c>
      <c r="L31" s="37"/>
      <c r="M31" s="37"/>
      <c r="P31" s="39">
        <f>(I31-17.2)*((2/0.31)/3.14)</f>
        <v>114.23875077049516</v>
      </c>
      <c r="Q31" s="37"/>
      <c r="T31" s="40"/>
      <c r="V31" s="39">
        <v>5.16</v>
      </c>
    </row>
    <row r="32" spans="1:22" s="33" customFormat="1" ht="23" customHeight="1">
      <c r="A32" s="33" t="s">
        <v>191</v>
      </c>
      <c r="B32" s="50">
        <v>37.647500000000001</v>
      </c>
      <c r="C32" s="50">
        <v>140.91194400000001</v>
      </c>
      <c r="E32" s="34">
        <v>42430</v>
      </c>
      <c r="F32" s="35">
        <v>2089</v>
      </c>
      <c r="G32" s="33">
        <f t="shared" si="2"/>
        <v>419040</v>
      </c>
      <c r="H32" s="33">
        <v>3600</v>
      </c>
      <c r="I32" s="36">
        <v>116.4</v>
      </c>
      <c r="J32" s="37" t="s">
        <v>80</v>
      </c>
      <c r="K32" s="37" t="s">
        <v>72</v>
      </c>
      <c r="L32" s="37"/>
      <c r="M32" s="37"/>
      <c r="P32" s="39">
        <f>(I32-17.2)*((2/0.31)/5.15)</f>
        <v>124.27184466019418</v>
      </c>
      <c r="Q32" s="37" t="s">
        <v>132</v>
      </c>
      <c r="T32" s="40"/>
      <c r="V32" s="39">
        <v>2.58</v>
      </c>
    </row>
    <row r="33" spans="1:22" s="33" customFormat="1" ht="23" customHeight="1">
      <c r="A33" s="33" t="s">
        <v>192</v>
      </c>
      <c r="B33" s="49">
        <v>37.570858299999998</v>
      </c>
      <c r="C33" s="49">
        <v>140.98077499999999</v>
      </c>
      <c r="E33" s="34">
        <v>42430</v>
      </c>
      <c r="F33" s="35">
        <v>2090</v>
      </c>
      <c r="G33" s="33">
        <f t="shared" si="2"/>
        <v>28302</v>
      </c>
      <c r="H33" s="33">
        <v>1590</v>
      </c>
      <c r="I33" s="36">
        <v>17.8</v>
      </c>
      <c r="J33" s="37" t="s">
        <v>80</v>
      </c>
      <c r="K33" s="37" t="s">
        <v>73</v>
      </c>
      <c r="L33" s="37"/>
      <c r="M33" s="37"/>
      <c r="P33" s="39">
        <f>(I33-17.2)*((2/0.31)/5.09)</f>
        <v>0.76050446796375126</v>
      </c>
      <c r="Q33" s="37"/>
      <c r="T33" s="40"/>
      <c r="V33" s="39">
        <v>114.24</v>
      </c>
    </row>
    <row r="34" spans="1:22" s="33" customFormat="1" ht="23" customHeight="1">
      <c r="A34" s="33" t="s">
        <v>193</v>
      </c>
      <c r="B34" s="33">
        <v>37.641388999999997</v>
      </c>
      <c r="C34" s="33">
        <v>140.955556</v>
      </c>
      <c r="E34" s="34">
        <v>42430</v>
      </c>
      <c r="F34" s="35">
        <v>2091</v>
      </c>
      <c r="G34" s="33">
        <f t="shared" si="2"/>
        <v>183018.00000000003</v>
      </c>
      <c r="H34" s="33">
        <v>2820</v>
      </c>
      <c r="I34" s="36">
        <v>64.900000000000006</v>
      </c>
      <c r="J34" s="37" t="s">
        <v>80</v>
      </c>
      <c r="K34" s="37" t="s">
        <v>75</v>
      </c>
      <c r="L34" s="37"/>
      <c r="M34" s="37"/>
      <c r="P34" s="39">
        <f>(I34-17.2)*((2/0.31)/3.79)</f>
        <v>81.19839986381821</v>
      </c>
      <c r="Q34" s="37"/>
      <c r="R34" s="33">
        <v>0.17399999999999999</v>
      </c>
      <c r="S34" s="33">
        <v>1.2130000000000001</v>
      </c>
      <c r="T34" s="40">
        <f>P34*3.79</f>
        <v>307.74193548387103</v>
      </c>
      <c r="V34" s="39">
        <v>124.27</v>
      </c>
    </row>
    <row r="35" spans="1:22" s="33" customFormat="1" ht="23" customHeight="1">
      <c r="A35" s="33" t="s">
        <v>194</v>
      </c>
      <c r="B35" s="33">
        <v>37.286943999999998</v>
      </c>
      <c r="C35" s="33">
        <v>140.98249999999999</v>
      </c>
      <c r="E35" s="34">
        <v>42430</v>
      </c>
      <c r="F35" s="35"/>
      <c r="H35" s="33">
        <v>13666</v>
      </c>
      <c r="I35" s="36"/>
      <c r="J35" s="37" t="s">
        <v>20</v>
      </c>
      <c r="K35" s="37" t="s">
        <v>76</v>
      </c>
      <c r="L35" s="43">
        <f>0.14*M35</f>
        <v>6.3449200511748016E-2</v>
      </c>
      <c r="M35" s="43">
        <f>(48*4)/(13666*0.31*0.1)</f>
        <v>0.45320857508391438</v>
      </c>
      <c r="P35" s="39">
        <f>M35+L35</f>
        <v>0.51665777559566239</v>
      </c>
      <c r="Q35" s="37"/>
      <c r="T35" s="40"/>
      <c r="V35" s="39">
        <v>0.76</v>
      </c>
    </row>
    <row r="36" spans="1:22" s="33" customFormat="1" ht="23" customHeight="1">
      <c r="A36" s="33" t="s">
        <v>194</v>
      </c>
      <c r="B36" s="33">
        <v>37.286943999999998</v>
      </c>
      <c r="C36" s="33">
        <v>140.98249999999999</v>
      </c>
      <c r="E36" s="34">
        <v>42430</v>
      </c>
      <c r="F36" s="35">
        <v>2094</v>
      </c>
      <c r="G36" s="33">
        <f t="shared" si="2"/>
        <v>64080</v>
      </c>
      <c r="H36" s="33">
        <v>3600</v>
      </c>
      <c r="I36" s="36">
        <v>17.8</v>
      </c>
      <c r="J36" s="37" t="s">
        <v>80</v>
      </c>
      <c r="K36" s="37" t="s">
        <v>76</v>
      </c>
      <c r="L36" s="43"/>
      <c r="M36" s="43"/>
      <c r="P36" s="39">
        <f>(I36-17.2)*((2/0.31)/0.5)</f>
        <v>7.7419354838709866</v>
      </c>
      <c r="Q36" s="37"/>
      <c r="T36" s="40"/>
      <c r="V36" s="39">
        <v>81.2</v>
      </c>
    </row>
    <row r="37" spans="1:22" s="33" customFormat="1" ht="23" customHeight="1">
      <c r="A37" s="33" t="s">
        <v>195</v>
      </c>
      <c r="B37" s="33">
        <v>37.286943999999998</v>
      </c>
      <c r="C37" s="33">
        <v>140.98249999999999</v>
      </c>
      <c r="E37" s="34">
        <v>42430</v>
      </c>
      <c r="F37" s="35"/>
      <c r="I37" s="36"/>
      <c r="J37" s="37" t="s">
        <v>20</v>
      </c>
      <c r="K37" s="37" t="s">
        <v>77</v>
      </c>
      <c r="L37" s="37"/>
      <c r="M37" s="37"/>
      <c r="P37" s="36"/>
      <c r="Q37" s="37"/>
      <c r="T37" s="40"/>
      <c r="V37" s="39">
        <v>0.52</v>
      </c>
    </row>
    <row r="38" spans="1:22" s="33" customFormat="1" ht="23" customHeight="1">
      <c r="A38" s="33" t="s">
        <v>196</v>
      </c>
      <c r="B38" s="33">
        <v>37.599997000000002</v>
      </c>
      <c r="C38" s="33">
        <v>140.9075</v>
      </c>
      <c r="E38" s="34">
        <v>42430</v>
      </c>
      <c r="F38" s="35">
        <v>2092</v>
      </c>
      <c r="G38" s="33">
        <f t="shared" ref="G38:G51" si="3">H38*I38</f>
        <v>226590</v>
      </c>
      <c r="H38" s="33">
        <v>2490</v>
      </c>
      <c r="I38" s="36">
        <v>91</v>
      </c>
      <c r="J38" s="37" t="s">
        <v>80</v>
      </c>
      <c r="K38" s="37" t="s">
        <v>78</v>
      </c>
      <c r="L38" s="37"/>
      <c r="M38" s="37"/>
      <c r="P38" s="39">
        <f>(I38-17.2)*((2/0.31)/6.39)</f>
        <v>74.5115856428896</v>
      </c>
      <c r="Q38" s="37" t="s">
        <v>79</v>
      </c>
      <c r="R38" s="33">
        <v>0.21299999999999999</v>
      </c>
      <c r="S38" s="33">
        <v>1.413</v>
      </c>
      <c r="T38" s="40">
        <f>P38*6.39</f>
        <v>476.12903225806451</v>
      </c>
      <c r="V38" s="39">
        <v>7.74</v>
      </c>
    </row>
    <row r="39" spans="1:22" s="33" customFormat="1" ht="23" customHeight="1">
      <c r="A39" s="33" t="s">
        <v>197</v>
      </c>
      <c r="B39" s="33">
        <v>37.641388999999997</v>
      </c>
      <c r="C39" s="33">
        <v>140.957222</v>
      </c>
      <c r="E39" s="34">
        <v>42430</v>
      </c>
      <c r="F39" s="35">
        <v>2093</v>
      </c>
      <c r="G39" s="33">
        <f t="shared" si="3"/>
        <v>65520</v>
      </c>
      <c r="H39" s="33">
        <v>3600</v>
      </c>
      <c r="I39" s="36">
        <v>18.2</v>
      </c>
      <c r="J39" s="37" t="s">
        <v>80</v>
      </c>
      <c r="K39" s="37" t="s">
        <v>77</v>
      </c>
      <c r="L39" s="37"/>
      <c r="M39" s="37"/>
      <c r="P39" s="39">
        <f>(I39-17.2)*((2/0.31)/0.2)</f>
        <v>32.258064516129032</v>
      </c>
      <c r="Q39" s="37"/>
      <c r="T39" s="40"/>
      <c r="V39" s="36">
        <v>74.510000000000005</v>
      </c>
    </row>
    <row r="40" spans="1:22" s="33" customFormat="1" ht="23" customHeight="1">
      <c r="A40" s="33" t="s">
        <v>198</v>
      </c>
      <c r="B40" s="49">
        <v>37.643774999999998</v>
      </c>
      <c r="C40" s="49">
        <v>140.59985280000001</v>
      </c>
      <c r="E40" s="34">
        <v>42431</v>
      </c>
      <c r="F40" s="35">
        <v>2095</v>
      </c>
      <c r="G40" s="33">
        <f t="shared" si="3"/>
        <v>62639.999999999993</v>
      </c>
      <c r="H40" s="33">
        <v>3600</v>
      </c>
      <c r="I40" s="36">
        <v>17.399999999999999</v>
      </c>
      <c r="J40" s="37" t="s">
        <v>80</v>
      </c>
      <c r="K40" s="37" t="s">
        <v>76</v>
      </c>
      <c r="L40" s="37"/>
      <c r="M40" s="37"/>
      <c r="P40" s="39">
        <f>(I40-17.2)*((2/0.31)/0.1)</f>
        <v>12.903225806451568</v>
      </c>
      <c r="Q40" s="37" t="s">
        <v>81</v>
      </c>
      <c r="T40" s="40"/>
      <c r="V40" s="39">
        <v>32.26</v>
      </c>
    </row>
    <row r="41" spans="1:22" s="33" customFormat="1" ht="23" customHeight="1">
      <c r="A41" s="33" t="s">
        <v>199</v>
      </c>
      <c r="B41" s="50">
        <v>37.637770000000003</v>
      </c>
      <c r="C41" s="50">
        <v>140.96440000000001</v>
      </c>
      <c r="E41" s="34">
        <v>42431</v>
      </c>
      <c r="F41" s="35">
        <v>2096</v>
      </c>
      <c r="G41" s="33">
        <f t="shared" si="3"/>
        <v>117360</v>
      </c>
      <c r="H41" s="33">
        <v>1800</v>
      </c>
      <c r="I41" s="36">
        <v>65.2</v>
      </c>
      <c r="J41" s="37" t="s">
        <v>80</v>
      </c>
      <c r="K41" s="37" t="s">
        <v>82</v>
      </c>
      <c r="L41" s="37"/>
      <c r="M41" s="37"/>
      <c r="P41" s="39">
        <f>(I41-17.2)*((2/0.31)/2.29)</f>
        <v>135.23031412875054</v>
      </c>
      <c r="Q41" s="37" t="s">
        <v>136</v>
      </c>
      <c r="R41" s="33">
        <v>0.17100000000000001</v>
      </c>
      <c r="S41" s="33">
        <v>1.7190000000000001</v>
      </c>
      <c r="T41" s="40">
        <f>P41*2.29</f>
        <v>309.67741935483872</v>
      </c>
      <c r="V41" s="39">
        <v>12.9</v>
      </c>
    </row>
    <row r="42" spans="1:22" s="33" customFormat="1" ht="23" customHeight="1">
      <c r="A42" s="33" t="s">
        <v>200</v>
      </c>
      <c r="B42" s="50">
        <v>37.636667000000003</v>
      </c>
      <c r="C42" s="50">
        <v>140.94416699999999</v>
      </c>
      <c r="E42" s="34">
        <v>42431</v>
      </c>
      <c r="F42" s="35">
        <v>2097</v>
      </c>
      <c r="G42" s="33">
        <f t="shared" si="3"/>
        <v>73470</v>
      </c>
      <c r="H42" s="33">
        <v>2370</v>
      </c>
      <c r="I42" s="36">
        <v>31</v>
      </c>
      <c r="J42" s="37" t="s">
        <v>80</v>
      </c>
      <c r="K42" s="37" t="s">
        <v>83</v>
      </c>
      <c r="L42" s="37"/>
      <c r="M42" s="37"/>
      <c r="P42" s="39">
        <f>(I42-17.2)*((2/0.31)/14.61)</f>
        <v>6.0939259455520975</v>
      </c>
      <c r="Q42" s="37"/>
      <c r="T42" s="40"/>
      <c r="V42" s="39">
        <v>135.22999999999999</v>
      </c>
    </row>
    <row r="43" spans="1:22" s="33" customFormat="1" ht="23" customHeight="1">
      <c r="A43" s="33" t="s">
        <v>201</v>
      </c>
      <c r="B43" s="50">
        <v>37.647500000000001</v>
      </c>
      <c r="C43" s="50">
        <v>140.91194400000001</v>
      </c>
      <c r="E43" s="34">
        <v>42431</v>
      </c>
      <c r="F43" s="35">
        <v>2098</v>
      </c>
      <c r="G43" s="33">
        <f t="shared" si="3"/>
        <v>44469</v>
      </c>
      <c r="H43" s="33">
        <v>1830</v>
      </c>
      <c r="I43" s="36">
        <v>24.3</v>
      </c>
      <c r="J43" s="37" t="s">
        <v>80</v>
      </c>
      <c r="K43" s="37" t="s">
        <v>84</v>
      </c>
      <c r="L43" s="37"/>
      <c r="M43" s="37"/>
      <c r="P43" s="39">
        <f>(I43-17.2)*((2/0.31)/2.14)</f>
        <v>21.404883931263193</v>
      </c>
      <c r="Q43" s="37"/>
      <c r="T43" s="40"/>
      <c r="V43" s="39">
        <v>6.09</v>
      </c>
    </row>
    <row r="44" spans="1:22" s="33" customFormat="1" ht="23" customHeight="1">
      <c r="A44" s="33" t="s">
        <v>202</v>
      </c>
      <c r="B44" s="49">
        <v>37.570858299999998</v>
      </c>
      <c r="C44" s="49">
        <v>140.98077499999999</v>
      </c>
      <c r="E44" s="34">
        <v>42431</v>
      </c>
      <c r="F44" s="35">
        <v>2099</v>
      </c>
      <c r="G44" s="33">
        <f t="shared" si="3"/>
        <v>100116</v>
      </c>
      <c r="H44" s="33">
        <v>2430</v>
      </c>
      <c r="I44" s="36">
        <v>41.2</v>
      </c>
      <c r="J44" s="37" t="s">
        <v>80</v>
      </c>
      <c r="K44" s="37" t="s">
        <v>85</v>
      </c>
      <c r="L44" s="37"/>
      <c r="M44" s="37"/>
      <c r="P44" s="39">
        <f>(I44-17.2)*((2/0.31)/8.03)</f>
        <v>19.282529225083362</v>
      </c>
      <c r="Q44" s="37"/>
      <c r="T44" s="40"/>
      <c r="V44" s="39">
        <v>21.4</v>
      </c>
    </row>
    <row r="45" spans="1:22" s="33" customFormat="1" ht="23" customHeight="1">
      <c r="A45" s="33" t="s">
        <v>203</v>
      </c>
      <c r="B45" s="50">
        <v>37.641388999999997</v>
      </c>
      <c r="C45" s="50">
        <v>140.955556</v>
      </c>
      <c r="E45" s="34">
        <v>42431</v>
      </c>
      <c r="F45" s="35">
        <v>2100</v>
      </c>
      <c r="G45" s="33">
        <f t="shared" si="3"/>
        <v>26829</v>
      </c>
      <c r="H45" s="33">
        <v>990</v>
      </c>
      <c r="I45" s="36">
        <v>27.1</v>
      </c>
      <c r="J45" s="37" t="s">
        <v>80</v>
      </c>
      <c r="K45" s="37" t="s">
        <v>86</v>
      </c>
      <c r="L45" s="37"/>
      <c r="M45" s="37"/>
      <c r="P45" s="39">
        <f>(I45-17.2)*((2/0.31)/14.99)</f>
        <v>4.2609051195420617</v>
      </c>
      <c r="Q45" s="37"/>
      <c r="T45" s="40"/>
      <c r="V45" s="39">
        <v>19.28</v>
      </c>
    </row>
    <row r="46" spans="1:22" s="33" customFormat="1" ht="23" customHeight="1">
      <c r="A46" s="33" t="s">
        <v>204</v>
      </c>
      <c r="B46" s="50">
        <v>37.286943999999998</v>
      </c>
      <c r="C46" s="50">
        <v>140.98249999999999</v>
      </c>
      <c r="E46" s="34">
        <v>42431</v>
      </c>
      <c r="F46" s="35">
        <v>2101</v>
      </c>
      <c r="G46" s="33">
        <f t="shared" si="3"/>
        <v>66960</v>
      </c>
      <c r="H46" s="33">
        <v>3600</v>
      </c>
      <c r="I46" s="36">
        <v>18.600000000000001</v>
      </c>
      <c r="J46" s="37" t="s">
        <v>80</v>
      </c>
      <c r="K46" s="37" t="s">
        <v>87</v>
      </c>
      <c r="L46" s="38"/>
      <c r="M46" s="37"/>
      <c r="N46" s="37"/>
      <c r="O46" s="37"/>
      <c r="P46" s="39">
        <f>(I46-17.2)*((2/0.31)/37.48)</f>
        <v>0.2409887423830348</v>
      </c>
      <c r="Q46" s="37" t="s">
        <v>81</v>
      </c>
      <c r="T46" s="40"/>
      <c r="V46" s="39">
        <v>4.26</v>
      </c>
    </row>
    <row r="47" spans="1:22" s="33" customFormat="1" ht="23" customHeight="1">
      <c r="A47" s="33" t="s">
        <v>205</v>
      </c>
      <c r="B47" s="50">
        <v>37.286943999999998</v>
      </c>
      <c r="C47" s="50">
        <v>140.98249999999999</v>
      </c>
      <c r="E47" s="34">
        <v>42434</v>
      </c>
      <c r="F47" s="35"/>
      <c r="G47" s="33">
        <v>756071</v>
      </c>
      <c r="H47" s="33">
        <v>197961</v>
      </c>
      <c r="I47" s="36"/>
      <c r="J47" s="37" t="s">
        <v>20</v>
      </c>
      <c r="K47" s="37" t="s">
        <v>76</v>
      </c>
      <c r="L47" s="38"/>
      <c r="M47" s="37"/>
      <c r="N47" s="37"/>
      <c r="O47" s="37"/>
      <c r="P47" s="39">
        <v>0.2</v>
      </c>
      <c r="Q47" s="37" t="s">
        <v>81</v>
      </c>
      <c r="T47" s="40"/>
      <c r="V47" s="39">
        <v>0.24</v>
      </c>
    </row>
    <row r="48" spans="1:22" s="33" customFormat="1" ht="23" customHeight="1">
      <c r="A48" s="33" t="s">
        <v>206</v>
      </c>
      <c r="B48" s="50">
        <v>37.286943999999998</v>
      </c>
      <c r="C48" s="50">
        <v>140.98249999999999</v>
      </c>
      <c r="E48" s="34">
        <v>42432</v>
      </c>
      <c r="F48" s="35">
        <v>2102</v>
      </c>
      <c r="G48" s="33">
        <f t="shared" si="3"/>
        <v>64800</v>
      </c>
      <c r="H48" s="33">
        <v>3600</v>
      </c>
      <c r="I48" s="36">
        <v>18</v>
      </c>
      <c r="J48" s="37" t="s">
        <v>80</v>
      </c>
      <c r="K48" s="37" t="s">
        <v>77</v>
      </c>
      <c r="L48" s="38"/>
      <c r="M48" s="37"/>
      <c r="N48" s="37"/>
      <c r="O48" s="37"/>
      <c r="P48" s="39">
        <f>(I48-17.2)*((2/0.31)/0.5)</f>
        <v>10.322580645161301</v>
      </c>
      <c r="Q48" s="37"/>
      <c r="T48" s="40"/>
      <c r="V48" s="39">
        <v>0.2</v>
      </c>
    </row>
    <row r="49" spans="1:22" s="33" customFormat="1" ht="23" customHeight="1">
      <c r="A49" s="33" t="s">
        <v>207</v>
      </c>
      <c r="B49" s="50">
        <v>37.599997000000002</v>
      </c>
      <c r="C49" s="50">
        <v>140.9075</v>
      </c>
      <c r="E49" s="34">
        <v>42432</v>
      </c>
      <c r="F49" s="35">
        <v>2103</v>
      </c>
      <c r="G49" s="33">
        <f t="shared" si="3"/>
        <v>48267</v>
      </c>
      <c r="H49" s="33">
        <v>2790</v>
      </c>
      <c r="I49" s="36">
        <v>17.3</v>
      </c>
      <c r="J49" s="37" t="s">
        <v>80</v>
      </c>
      <c r="K49" s="37" t="s">
        <v>76</v>
      </c>
      <c r="L49" s="38"/>
      <c r="M49" s="37"/>
      <c r="N49" s="37"/>
      <c r="O49" s="37"/>
      <c r="P49" s="39" t="s">
        <v>4</v>
      </c>
      <c r="Q49" s="37"/>
      <c r="T49" s="40"/>
      <c r="V49" s="39">
        <v>10.32</v>
      </c>
    </row>
    <row r="50" spans="1:22" s="33" customFormat="1" ht="23" customHeight="1">
      <c r="A50" s="33" t="s">
        <v>208</v>
      </c>
      <c r="B50" s="50">
        <v>37.641388999999997</v>
      </c>
      <c r="C50" s="50">
        <v>140.957222</v>
      </c>
      <c r="E50" s="34">
        <v>42432</v>
      </c>
      <c r="F50" s="35">
        <v>2104</v>
      </c>
      <c r="G50" s="33">
        <f t="shared" si="3"/>
        <v>62639.999999999993</v>
      </c>
      <c r="H50" s="33">
        <v>3600</v>
      </c>
      <c r="I50" s="36">
        <v>17.399999999999999</v>
      </c>
      <c r="J50" s="37" t="s">
        <v>80</v>
      </c>
      <c r="K50" s="37" t="s">
        <v>88</v>
      </c>
      <c r="L50" s="38"/>
      <c r="M50" s="37"/>
      <c r="N50" s="37"/>
      <c r="O50" s="37"/>
      <c r="P50" s="39" t="s">
        <v>4</v>
      </c>
      <c r="Q50" s="37"/>
      <c r="T50" s="40"/>
      <c r="V50" s="39">
        <v>0</v>
      </c>
    </row>
    <row r="51" spans="1:22" s="33" customFormat="1" ht="23" customHeight="1">
      <c r="A51" s="33" t="s">
        <v>209</v>
      </c>
      <c r="B51" s="49">
        <v>37.657433300000001</v>
      </c>
      <c r="C51" s="49">
        <v>140.93135000000001</v>
      </c>
      <c r="E51" s="34">
        <v>42432</v>
      </c>
      <c r="F51" s="35">
        <v>2105</v>
      </c>
      <c r="G51" s="33">
        <f t="shared" si="3"/>
        <v>68040</v>
      </c>
      <c r="H51" s="33">
        <v>3600</v>
      </c>
      <c r="I51" s="36">
        <v>18.899999999999999</v>
      </c>
      <c r="J51" s="37" t="s">
        <v>80</v>
      </c>
      <c r="K51" s="37" t="s">
        <v>77</v>
      </c>
      <c r="L51" s="38"/>
      <c r="M51" s="37"/>
      <c r="N51" s="37"/>
      <c r="O51" s="37"/>
      <c r="P51" s="39">
        <f>(30/3600)*((2/0.31)/0.2)</f>
        <v>0.26881720430107525</v>
      </c>
      <c r="Q51" s="37"/>
      <c r="T51" s="40"/>
      <c r="V51" s="39">
        <v>0</v>
      </c>
    </row>
    <row r="52" spans="1:22" s="33" customFormat="1" ht="23" customHeight="1">
      <c r="A52" s="33" t="s">
        <v>210</v>
      </c>
      <c r="B52" s="33">
        <v>37.717778000000003</v>
      </c>
      <c r="C52" s="33">
        <v>140.6925</v>
      </c>
      <c r="E52" s="34">
        <v>42433</v>
      </c>
      <c r="F52" s="35">
        <v>2106</v>
      </c>
      <c r="I52" s="36">
        <v>17.8</v>
      </c>
      <c r="J52" s="37" t="s">
        <v>80</v>
      </c>
      <c r="K52" s="37" t="s">
        <v>77</v>
      </c>
      <c r="L52" s="38"/>
      <c r="M52" s="37"/>
      <c r="N52" s="37"/>
      <c r="O52" s="37"/>
      <c r="P52" s="39" t="s">
        <v>4</v>
      </c>
      <c r="Q52" s="37"/>
      <c r="T52" s="40"/>
      <c r="V52" s="39">
        <v>0.27</v>
      </c>
    </row>
    <row r="53" spans="1:22" s="33" customFormat="1" ht="23" customHeight="1">
      <c r="A53" s="33" t="s">
        <v>211</v>
      </c>
      <c r="B53" s="33">
        <v>37.219166999999999</v>
      </c>
      <c r="C53" s="33">
        <v>140.991389</v>
      </c>
      <c r="E53" s="34">
        <v>42433</v>
      </c>
      <c r="F53" s="35">
        <v>2107</v>
      </c>
      <c r="I53" s="36">
        <v>17.3</v>
      </c>
      <c r="J53" s="37" t="s">
        <v>80</v>
      </c>
      <c r="K53" s="37" t="s">
        <v>77</v>
      </c>
      <c r="L53" s="38"/>
      <c r="M53" s="37"/>
      <c r="N53" s="37"/>
      <c r="O53" s="37"/>
      <c r="P53" s="39" t="s">
        <v>4</v>
      </c>
      <c r="Q53" s="37"/>
      <c r="T53" s="40"/>
      <c r="V53" s="39">
        <v>0</v>
      </c>
    </row>
    <row r="54" spans="1:22" s="33" customFormat="1" ht="23" customHeight="1">
      <c r="A54" s="33" t="s">
        <v>212</v>
      </c>
      <c r="B54" s="33">
        <v>37.286943999999998</v>
      </c>
      <c r="C54" s="33">
        <v>140.98249999999999</v>
      </c>
      <c r="E54" s="34">
        <v>42433</v>
      </c>
      <c r="F54" s="35">
        <v>2108</v>
      </c>
      <c r="G54" s="33">
        <f t="shared" ref="G54:G66" si="4">H54*I54</f>
        <v>63360.000000000007</v>
      </c>
      <c r="H54" s="33">
        <v>3600</v>
      </c>
      <c r="I54" s="36">
        <v>17.600000000000001</v>
      </c>
      <c r="J54" s="37" t="s">
        <v>80</v>
      </c>
      <c r="K54" s="37" t="s">
        <v>77</v>
      </c>
      <c r="L54" s="38"/>
      <c r="M54" s="37"/>
      <c r="N54" s="37"/>
      <c r="O54" s="37"/>
      <c r="P54" s="39">
        <f>(I54-17.2)*((2/0.31)/37.48)</f>
        <v>6.8853926395153059E-2</v>
      </c>
      <c r="Q54" s="37"/>
      <c r="T54" s="40"/>
      <c r="V54" s="39">
        <v>0</v>
      </c>
    </row>
    <row r="55" spans="1:22" s="33" customFormat="1" ht="23" customHeight="1">
      <c r="A55" s="33" t="s">
        <v>213</v>
      </c>
      <c r="E55" s="34">
        <v>42436</v>
      </c>
      <c r="F55" s="35">
        <v>2109</v>
      </c>
      <c r="G55" s="33">
        <f t="shared" si="4"/>
        <v>64800</v>
      </c>
      <c r="H55" s="33">
        <v>3600</v>
      </c>
      <c r="I55" s="36">
        <v>18</v>
      </c>
      <c r="J55" s="37" t="s">
        <v>80</v>
      </c>
      <c r="K55" s="37" t="s">
        <v>77</v>
      </c>
      <c r="L55" s="38"/>
      <c r="M55" s="37"/>
      <c r="N55" s="37"/>
      <c r="O55" s="37"/>
      <c r="P55" s="39" t="s">
        <v>4</v>
      </c>
      <c r="Q55" s="37"/>
      <c r="T55" s="40"/>
      <c r="V55" s="39">
        <v>7.0000000000000007E-2</v>
      </c>
    </row>
    <row r="56" spans="1:22" s="33" customFormat="1" ht="23" customHeight="1">
      <c r="A56" s="33" t="s">
        <v>214</v>
      </c>
      <c r="E56" s="34">
        <v>42436</v>
      </c>
      <c r="F56" s="35">
        <v>2110</v>
      </c>
      <c r="G56" s="33">
        <f t="shared" si="4"/>
        <v>64439.999999999993</v>
      </c>
      <c r="H56" s="33">
        <v>3600</v>
      </c>
      <c r="I56" s="36">
        <v>17.899999999999999</v>
      </c>
      <c r="J56" s="37" t="s">
        <v>80</v>
      </c>
      <c r="K56" s="37" t="s">
        <v>89</v>
      </c>
      <c r="L56" s="38"/>
      <c r="M56" s="37"/>
      <c r="N56" s="37"/>
      <c r="O56" s="37"/>
      <c r="P56" s="39">
        <f>(I56-17.2)*((2/0.31)/4.19)</f>
        <v>1.0778350912310404</v>
      </c>
      <c r="Q56" s="37"/>
      <c r="R56" s="33">
        <v>0.11600000000000001</v>
      </c>
      <c r="S56" s="33">
        <v>0.11799999999999999</v>
      </c>
      <c r="T56" s="40">
        <f>P56*4.17</f>
        <v>4.4945723304334386</v>
      </c>
      <c r="V56" s="39">
        <v>0</v>
      </c>
    </row>
    <row r="57" spans="1:22" s="33" customFormat="1" ht="23" customHeight="1">
      <c r="A57" s="33" t="s">
        <v>215</v>
      </c>
      <c r="B57" s="33">
        <v>37.641111000000002</v>
      </c>
      <c r="C57" s="33">
        <v>140.965</v>
      </c>
      <c r="E57" s="34">
        <v>42436</v>
      </c>
      <c r="F57" s="35">
        <v>2111</v>
      </c>
      <c r="G57" s="33">
        <f t="shared" si="4"/>
        <v>68040</v>
      </c>
      <c r="H57" s="33">
        <v>3600</v>
      </c>
      <c r="I57" s="36">
        <v>18.899999999999999</v>
      </c>
      <c r="J57" s="37" t="s">
        <v>80</v>
      </c>
      <c r="K57" s="37" t="s">
        <v>90</v>
      </c>
      <c r="L57" s="38"/>
      <c r="M57" s="37"/>
      <c r="N57" s="37"/>
      <c r="O57" s="37"/>
      <c r="P57" s="39">
        <f>(I57-17.2)*((2/0.31)/0.76)</f>
        <v>14.431239388794562</v>
      </c>
      <c r="Q57" s="37"/>
      <c r="R57" s="33">
        <v>0.11700000000000001</v>
      </c>
      <c r="S57" s="33">
        <v>0.14399999999999999</v>
      </c>
      <c r="T57" s="40">
        <f>14.4*0.76</f>
        <v>10.944000000000001</v>
      </c>
      <c r="V57" s="39">
        <v>1.08</v>
      </c>
    </row>
    <row r="58" spans="1:22" s="33" customFormat="1" ht="23" customHeight="1">
      <c r="A58" s="33" t="s">
        <v>216</v>
      </c>
      <c r="B58" s="33">
        <v>37.641111000000002</v>
      </c>
      <c r="C58" s="33">
        <v>140.965</v>
      </c>
      <c r="E58" s="34">
        <v>42436</v>
      </c>
      <c r="F58" s="35">
        <v>2112</v>
      </c>
      <c r="G58" s="33">
        <f t="shared" si="4"/>
        <v>97920</v>
      </c>
      <c r="H58" s="33">
        <v>3600</v>
      </c>
      <c r="I58" s="36">
        <v>27.2</v>
      </c>
      <c r="J58" s="37" t="s">
        <v>80</v>
      </c>
      <c r="K58" s="37" t="s">
        <v>91</v>
      </c>
      <c r="L58" s="38"/>
      <c r="M58" s="37"/>
      <c r="N58" s="37"/>
      <c r="O58" s="37"/>
      <c r="P58" s="39">
        <f>(I58-17.2)*((2/0.31)/0.33)</f>
        <v>195.50342130987292</v>
      </c>
      <c r="Q58" s="37" t="s">
        <v>137</v>
      </c>
      <c r="R58" s="33">
        <v>0.14099999999999999</v>
      </c>
      <c r="S58" s="33">
        <v>7.46</v>
      </c>
      <c r="T58" s="40">
        <f>P58*0.33</f>
        <v>64.516129032258064</v>
      </c>
      <c r="V58" s="39">
        <v>14.43</v>
      </c>
    </row>
    <row r="59" spans="1:22" s="33" customFormat="1" ht="23" customHeight="1">
      <c r="A59" s="33" t="s">
        <v>217</v>
      </c>
      <c r="E59" s="34">
        <v>42437</v>
      </c>
      <c r="F59" s="35">
        <v>2117</v>
      </c>
      <c r="G59" s="33">
        <f t="shared" si="4"/>
        <v>64080</v>
      </c>
      <c r="H59" s="33">
        <v>3600</v>
      </c>
      <c r="I59" s="36">
        <v>17.8</v>
      </c>
      <c r="J59" s="37" t="s">
        <v>80</v>
      </c>
      <c r="K59" s="37" t="s">
        <v>77</v>
      </c>
      <c r="L59" s="38"/>
      <c r="M59" s="37"/>
      <c r="N59" s="37"/>
      <c r="O59" s="37"/>
      <c r="P59" s="39">
        <f>(I59-17.3)*((2/0.31)/0.33)</f>
        <v>9.7751710654936463</v>
      </c>
      <c r="Q59" s="37"/>
      <c r="T59" s="40"/>
      <c r="V59" s="39">
        <v>195.5</v>
      </c>
    </row>
    <row r="60" spans="1:22" s="33" customFormat="1" ht="23" customHeight="1">
      <c r="A60" s="33" t="s">
        <v>218</v>
      </c>
      <c r="E60" s="34">
        <v>42437</v>
      </c>
      <c r="F60" s="35">
        <v>2118</v>
      </c>
      <c r="G60" s="33">
        <f t="shared" si="4"/>
        <v>63720</v>
      </c>
      <c r="H60" s="33">
        <v>3600</v>
      </c>
      <c r="I60" s="36">
        <v>17.7</v>
      </c>
      <c r="J60" s="37" t="s">
        <v>80</v>
      </c>
      <c r="K60" s="37" t="s">
        <v>77</v>
      </c>
      <c r="L60" s="38"/>
      <c r="M60" s="37"/>
      <c r="N60" s="37"/>
      <c r="O60" s="37"/>
      <c r="P60" s="39">
        <f>(I60-17.3)*((2/0.31)/0.33)</f>
        <v>7.8201368523948895</v>
      </c>
      <c r="Q60" s="37"/>
      <c r="T60" s="40"/>
      <c r="V60" s="39">
        <v>9.7799999999999994</v>
      </c>
    </row>
    <row r="61" spans="1:22" s="33" customFormat="1" ht="23" customHeight="1">
      <c r="A61" s="33" t="s">
        <v>219</v>
      </c>
      <c r="E61" s="34">
        <v>42438</v>
      </c>
      <c r="F61" s="35">
        <v>2120</v>
      </c>
      <c r="G61" s="33">
        <f t="shared" si="4"/>
        <v>63000</v>
      </c>
      <c r="H61" s="33">
        <v>3600</v>
      </c>
      <c r="I61" s="36">
        <v>17.5</v>
      </c>
      <c r="J61" s="37" t="s">
        <v>80</v>
      </c>
      <c r="K61" s="37" t="s">
        <v>77</v>
      </c>
      <c r="L61" s="38"/>
      <c r="M61" s="37"/>
      <c r="N61" s="37"/>
      <c r="O61" s="37"/>
      <c r="P61" s="39" t="s">
        <v>4</v>
      </c>
      <c r="Q61" s="37"/>
      <c r="T61" s="40"/>
      <c r="V61" s="39">
        <v>7.82</v>
      </c>
    </row>
    <row r="62" spans="1:22" s="33" customFormat="1" ht="23" customHeight="1">
      <c r="A62" s="33" t="s">
        <v>220</v>
      </c>
      <c r="B62" s="33">
        <v>37.604145000000003</v>
      </c>
      <c r="C62" s="33">
        <v>140.91506999999999</v>
      </c>
      <c r="E62" s="34">
        <v>42437</v>
      </c>
      <c r="F62" s="35">
        <v>2113</v>
      </c>
      <c r="G62" s="33">
        <f t="shared" si="4"/>
        <v>104040</v>
      </c>
      <c r="H62" s="33">
        <v>2550</v>
      </c>
      <c r="I62" s="36">
        <v>40.799999999999997</v>
      </c>
      <c r="J62" s="37" t="s">
        <v>80</v>
      </c>
      <c r="K62" s="37" t="s">
        <v>92</v>
      </c>
      <c r="L62" s="38"/>
      <c r="M62" s="37"/>
      <c r="N62" s="37"/>
      <c r="O62" s="37"/>
      <c r="P62" s="39">
        <f>(I62-17.2)*((2/0.31)/0.59)</f>
        <v>258.06451612903231</v>
      </c>
      <c r="Q62" s="37"/>
      <c r="T62" s="40"/>
      <c r="V62" s="39">
        <v>0</v>
      </c>
    </row>
    <row r="63" spans="1:22" s="33" customFormat="1" ht="23" customHeight="1">
      <c r="A63" s="33" t="s">
        <v>221</v>
      </c>
      <c r="B63" s="33">
        <v>37.641111000000002</v>
      </c>
      <c r="C63" s="33">
        <v>140.965</v>
      </c>
      <c r="E63" s="34">
        <v>42437</v>
      </c>
      <c r="F63" s="35">
        <v>2114</v>
      </c>
      <c r="G63" s="33">
        <f t="shared" si="4"/>
        <v>79200</v>
      </c>
      <c r="H63" s="33">
        <v>3600</v>
      </c>
      <c r="I63" s="36">
        <v>22</v>
      </c>
      <c r="J63" s="37" t="s">
        <v>80</v>
      </c>
      <c r="K63" s="37" t="s">
        <v>93</v>
      </c>
      <c r="L63" s="38"/>
      <c r="M63" s="37"/>
      <c r="N63" s="37"/>
      <c r="O63" s="37"/>
      <c r="P63" s="39">
        <f>(I63-17.2)*((2/0.31)/0.1)</f>
        <v>309.67741935483878</v>
      </c>
      <c r="Q63" s="37"/>
      <c r="R63" s="33">
        <v>0.114</v>
      </c>
      <c r="S63" s="33">
        <v>0.254</v>
      </c>
      <c r="T63" s="40">
        <f>0.1*309.7</f>
        <v>30.97</v>
      </c>
      <c r="V63" s="39">
        <v>258.06</v>
      </c>
    </row>
    <row r="64" spans="1:22" s="33" customFormat="1" ht="23" customHeight="1">
      <c r="A64" s="33" t="s">
        <v>222</v>
      </c>
      <c r="B64" s="33">
        <v>37.636667000000003</v>
      </c>
      <c r="C64" s="33">
        <v>140.971667</v>
      </c>
      <c r="E64" s="34">
        <v>42437</v>
      </c>
      <c r="F64" s="35">
        <v>2115</v>
      </c>
      <c r="G64" s="33">
        <f t="shared" si="4"/>
        <v>87840</v>
      </c>
      <c r="H64" s="33">
        <v>3600</v>
      </c>
      <c r="I64" s="36">
        <v>24.4</v>
      </c>
      <c r="J64" s="37" t="s">
        <v>80</v>
      </c>
      <c r="K64" s="37" t="s">
        <v>94</v>
      </c>
      <c r="L64" s="38"/>
      <c r="M64" s="37"/>
      <c r="N64" s="37"/>
      <c r="O64" s="37"/>
      <c r="P64" s="39">
        <f>(I64-17.2)*((2/0.31)/1.4)</f>
        <v>33.179723502304149</v>
      </c>
      <c r="Q64" s="37"/>
      <c r="R64" s="33">
        <v>0.13200000000000001</v>
      </c>
      <c r="S64" s="33">
        <v>0.443</v>
      </c>
      <c r="T64" s="40">
        <f>33.2*1.4</f>
        <v>46.480000000000004</v>
      </c>
      <c r="V64" s="39">
        <v>309.68</v>
      </c>
    </row>
    <row r="65" spans="1:22" s="33" customFormat="1" ht="23" customHeight="1">
      <c r="A65" s="33" t="s">
        <v>223</v>
      </c>
      <c r="B65" s="33">
        <v>37.485278000000001</v>
      </c>
      <c r="C65" s="33">
        <v>140.315833</v>
      </c>
      <c r="E65" s="34">
        <v>42437</v>
      </c>
      <c r="F65" s="35">
        <v>2116</v>
      </c>
      <c r="G65" s="33">
        <f t="shared" si="4"/>
        <v>74520</v>
      </c>
      <c r="H65" s="33">
        <v>3600</v>
      </c>
      <c r="I65" s="36">
        <v>20.7</v>
      </c>
      <c r="J65" s="37" t="s">
        <v>80</v>
      </c>
      <c r="K65" s="37" t="s">
        <v>95</v>
      </c>
      <c r="L65" s="38"/>
      <c r="M65" s="37"/>
      <c r="N65" s="37"/>
      <c r="O65" s="37"/>
      <c r="P65" s="39">
        <f>(I65-17.2)*((2/0.31)/0.81)</f>
        <v>27.877339705296695</v>
      </c>
      <c r="Q65" s="37" t="s">
        <v>60</v>
      </c>
      <c r="T65" s="40"/>
      <c r="V65" s="39">
        <v>33.18</v>
      </c>
    </row>
    <row r="66" spans="1:22" s="33" customFormat="1" ht="23" customHeight="1">
      <c r="A66" s="33" t="s">
        <v>224</v>
      </c>
      <c r="B66" s="33">
        <v>37.519722000000002</v>
      </c>
      <c r="C66" s="33">
        <v>141.01833300000001</v>
      </c>
      <c r="E66" s="34">
        <v>42438</v>
      </c>
      <c r="F66" s="35">
        <v>2119</v>
      </c>
      <c r="G66" s="33">
        <f t="shared" si="4"/>
        <v>55565.999999999993</v>
      </c>
      <c r="H66" s="33">
        <v>2940</v>
      </c>
      <c r="I66" s="36">
        <v>18.899999999999999</v>
      </c>
      <c r="J66" s="37" t="s">
        <v>80</v>
      </c>
      <c r="K66" s="37" t="s">
        <v>96</v>
      </c>
      <c r="L66" s="38"/>
      <c r="M66" s="37"/>
      <c r="N66" s="37"/>
      <c r="O66" s="37"/>
      <c r="P66" s="39">
        <f>(I66-17.2)*((2/0.31)/10.3)</f>
        <v>1.0648293141246472</v>
      </c>
      <c r="Q66" s="37"/>
      <c r="R66" s="33">
        <v>9.2999999999999999E-2</v>
      </c>
      <c r="S66" s="48">
        <v>0.17</v>
      </c>
      <c r="T66" s="40">
        <f>1.1*10.3</f>
        <v>11.330000000000002</v>
      </c>
      <c r="V66" s="39">
        <v>27.88</v>
      </c>
    </row>
    <row r="67" spans="1:22" s="33" customFormat="1" ht="23" customHeight="1">
      <c r="A67" s="33" t="s">
        <v>225</v>
      </c>
      <c r="B67" s="33">
        <v>37.529167000000001</v>
      </c>
      <c r="C67" s="33">
        <v>139.99083300000001</v>
      </c>
      <c r="E67" s="34">
        <v>42438</v>
      </c>
      <c r="F67" s="35">
        <v>2121</v>
      </c>
      <c r="I67" s="36">
        <v>17.7</v>
      </c>
      <c r="J67" s="37" t="s">
        <v>80</v>
      </c>
      <c r="K67" s="37" t="s">
        <v>97</v>
      </c>
      <c r="L67" s="38"/>
      <c r="M67" s="37"/>
      <c r="N67" s="37"/>
      <c r="O67" s="37"/>
      <c r="P67" s="39">
        <f>(I67-17.3)*((2/0.31)/3.11)</f>
        <v>0.82978944092936124</v>
      </c>
      <c r="Q67" s="37"/>
      <c r="T67" s="40"/>
      <c r="V67" s="39">
        <v>1.06</v>
      </c>
    </row>
    <row r="68" spans="1:22" s="33" customFormat="1" ht="23" customHeight="1">
      <c r="A68" s="33" t="s">
        <v>226</v>
      </c>
      <c r="B68" s="33">
        <v>37.529167000000001</v>
      </c>
      <c r="C68" s="33">
        <v>139.99083300000001</v>
      </c>
      <c r="E68" s="34">
        <v>42438</v>
      </c>
      <c r="F68" s="35">
        <v>2125</v>
      </c>
      <c r="I68" s="36">
        <v>17.2</v>
      </c>
      <c r="J68" s="37" t="s">
        <v>80</v>
      </c>
      <c r="K68" s="37" t="s">
        <v>77</v>
      </c>
      <c r="L68" s="38"/>
      <c r="M68" s="37"/>
      <c r="N68" s="37"/>
      <c r="O68" s="37"/>
      <c r="P68" s="39" t="s">
        <v>4</v>
      </c>
      <c r="Q68" s="37"/>
      <c r="T68" s="40"/>
      <c r="V68" s="39">
        <v>0.83</v>
      </c>
    </row>
    <row r="69" spans="1:22" s="33" customFormat="1" ht="23" customHeight="1">
      <c r="A69" s="33" t="s">
        <v>227</v>
      </c>
      <c r="B69" s="33">
        <v>37.529167000000001</v>
      </c>
      <c r="C69" s="33">
        <v>139.99083300000001</v>
      </c>
      <c r="E69" s="34">
        <v>42438</v>
      </c>
      <c r="F69" s="35">
        <v>2124</v>
      </c>
      <c r="G69" s="33">
        <f>H69*I69</f>
        <v>95040</v>
      </c>
      <c r="H69" s="33">
        <v>3600</v>
      </c>
      <c r="I69" s="36">
        <v>26.4</v>
      </c>
      <c r="J69" s="37" t="s">
        <v>80</v>
      </c>
      <c r="K69" s="37" t="s">
        <v>99</v>
      </c>
      <c r="L69" s="38"/>
      <c r="M69" s="37"/>
      <c r="N69" s="37"/>
      <c r="O69" s="37"/>
      <c r="P69" s="39">
        <f>(I69-17.3)*((2/0.31)/1.64)</f>
        <v>35.798583792289534</v>
      </c>
      <c r="Q69" s="37"/>
      <c r="T69" s="40"/>
      <c r="V69" s="39">
        <v>0</v>
      </c>
    </row>
    <row r="70" spans="1:22" s="33" customFormat="1" ht="23" customHeight="1">
      <c r="A70" s="33" t="s">
        <v>228</v>
      </c>
      <c r="B70" s="33">
        <v>37.320833</v>
      </c>
      <c r="C70" s="33">
        <v>141.00722200000001</v>
      </c>
      <c r="E70" s="34">
        <v>42438</v>
      </c>
      <c r="F70" s="35">
        <v>2122</v>
      </c>
      <c r="G70" s="33">
        <f>H70*I70</f>
        <v>68400</v>
      </c>
      <c r="H70" s="33">
        <v>3600</v>
      </c>
      <c r="I70" s="36">
        <v>19</v>
      </c>
      <c r="J70" s="37" t="s">
        <v>80</v>
      </c>
      <c r="K70" s="37" t="s">
        <v>98</v>
      </c>
      <c r="L70" s="38"/>
      <c r="M70" s="37"/>
      <c r="N70" s="37"/>
      <c r="O70" s="37"/>
      <c r="P70" s="39">
        <f>(I70-17.3)*((2/0.31)/1.83)</f>
        <v>5.9933016040895453</v>
      </c>
      <c r="Q70" s="37"/>
      <c r="R70" s="33">
        <v>0.13500000000000001</v>
      </c>
      <c r="S70" s="33">
        <v>0.224</v>
      </c>
      <c r="T70" s="40">
        <f>P70*1.83</f>
        <v>10.967741935483868</v>
      </c>
      <c r="V70" s="39">
        <v>35.799999999999997</v>
      </c>
    </row>
    <row r="71" spans="1:22" s="33" customFormat="1" ht="23" customHeight="1">
      <c r="A71" s="33" t="s">
        <v>229</v>
      </c>
      <c r="B71" s="33">
        <v>37.485278000000001</v>
      </c>
      <c r="C71" s="33">
        <v>140.315833</v>
      </c>
      <c r="E71" s="34">
        <v>42438</v>
      </c>
      <c r="F71" s="35">
        <v>2126</v>
      </c>
      <c r="H71" s="33">
        <v>3600</v>
      </c>
      <c r="I71" s="36">
        <v>20.7</v>
      </c>
      <c r="J71" s="37" t="s">
        <v>80</v>
      </c>
      <c r="K71" s="37" t="s">
        <v>100</v>
      </c>
      <c r="L71" s="38"/>
      <c r="M71" s="37"/>
      <c r="N71" s="37"/>
      <c r="O71" s="37"/>
      <c r="P71" s="39">
        <f>(I71-17.3)*((2/0.31)/1.88)</f>
        <v>11.667810569663688</v>
      </c>
      <c r="Q71" s="37"/>
      <c r="S71" s="33">
        <v>0.23699999999999999</v>
      </c>
      <c r="T71" s="40">
        <f>P71*1.88</f>
        <v>21.935483870967733</v>
      </c>
      <c r="V71" s="39">
        <v>5.99</v>
      </c>
    </row>
    <row r="72" spans="1:22" s="33" customFormat="1" ht="23" customHeight="1">
      <c r="A72" s="33" t="s">
        <v>230</v>
      </c>
      <c r="B72" s="33">
        <v>37.533889000000002</v>
      </c>
      <c r="C72" s="33">
        <v>141.02777800000001</v>
      </c>
      <c r="E72" s="34">
        <v>42439</v>
      </c>
      <c r="F72" s="35">
        <v>2127</v>
      </c>
      <c r="H72" s="33">
        <v>3600</v>
      </c>
      <c r="I72" s="36">
        <v>18.2</v>
      </c>
      <c r="J72" s="37" t="s">
        <v>80</v>
      </c>
      <c r="K72" s="37" t="s">
        <v>101</v>
      </c>
      <c r="L72" s="38"/>
      <c r="M72" s="37"/>
      <c r="N72" s="37"/>
      <c r="O72" s="37"/>
      <c r="P72" s="39" t="s">
        <v>4</v>
      </c>
      <c r="Q72" s="37"/>
      <c r="R72" s="33">
        <v>0.10199999999999999</v>
      </c>
      <c r="S72" s="33">
        <v>0.12</v>
      </c>
      <c r="T72" s="40">
        <v>0.1</v>
      </c>
      <c r="V72" s="39">
        <v>11.67</v>
      </c>
    </row>
    <row r="73" spans="1:22" s="33" customFormat="1" ht="23" customHeight="1">
      <c r="A73" s="33" t="s">
        <v>231</v>
      </c>
      <c r="B73" s="33">
        <v>37.603611000000001</v>
      </c>
      <c r="C73" s="33">
        <v>140.938333</v>
      </c>
      <c r="E73" s="34">
        <v>42439</v>
      </c>
      <c r="F73" s="35">
        <v>2128</v>
      </c>
      <c r="H73" s="33">
        <v>2760</v>
      </c>
      <c r="I73" s="36">
        <v>36.4</v>
      </c>
      <c r="J73" s="37" t="s">
        <v>80</v>
      </c>
      <c r="K73" s="37" t="s">
        <v>102</v>
      </c>
      <c r="L73" s="38"/>
      <c r="M73" s="37"/>
      <c r="N73" s="37"/>
      <c r="O73" s="37"/>
      <c r="P73" s="39">
        <f>(I73-17.3)*((2/0.31)/5.78)</f>
        <v>21.319343676749636</v>
      </c>
      <c r="Q73" s="37"/>
      <c r="S73" s="33">
        <v>0.443</v>
      </c>
      <c r="T73" s="40">
        <f>P73*5.78</f>
        <v>123.2258064516129</v>
      </c>
      <c r="V73" s="39">
        <v>0</v>
      </c>
    </row>
    <row r="74" spans="1:22" s="33" customFormat="1" ht="23" customHeight="1">
      <c r="A74" s="33" t="s">
        <v>232</v>
      </c>
      <c r="E74" s="34">
        <v>42439</v>
      </c>
      <c r="F74" s="35">
        <v>2129</v>
      </c>
      <c r="H74" s="33">
        <v>510</v>
      </c>
      <c r="I74" s="36">
        <v>17.600000000000001</v>
      </c>
      <c r="J74" s="37" t="s">
        <v>80</v>
      </c>
      <c r="K74" s="37" t="s">
        <v>103</v>
      </c>
      <c r="L74" s="38"/>
      <c r="M74" s="37"/>
      <c r="N74" s="37"/>
      <c r="O74" s="37"/>
      <c r="P74" s="39">
        <f>(I74-17.3)*((2/0.31)/0.2)</f>
        <v>9.6774193548387331</v>
      </c>
      <c r="Q74" s="37"/>
      <c r="T74" s="40">
        <f>P74*0.2</f>
        <v>1.9354838709677467</v>
      </c>
      <c r="V74" s="39">
        <v>21.32</v>
      </c>
    </row>
    <row r="75" spans="1:22" s="33" customFormat="1" ht="23" customHeight="1">
      <c r="A75" s="33" t="s">
        <v>233</v>
      </c>
      <c r="E75" s="34">
        <v>42439</v>
      </c>
      <c r="F75" s="35">
        <v>2130</v>
      </c>
      <c r="H75" s="33">
        <v>3600</v>
      </c>
      <c r="I75" s="36">
        <v>17.899999999999999</v>
      </c>
      <c r="J75" s="37" t="s">
        <v>80</v>
      </c>
      <c r="K75" s="37" t="s">
        <v>104</v>
      </c>
      <c r="L75" s="38"/>
      <c r="M75" s="37"/>
      <c r="N75" s="37"/>
      <c r="O75" s="37"/>
      <c r="P75" s="42" t="s">
        <v>105</v>
      </c>
      <c r="Q75" s="37"/>
      <c r="R75" s="33" t="s">
        <v>119</v>
      </c>
      <c r="S75" s="33">
        <v>0.183</v>
      </c>
      <c r="T75" s="40"/>
      <c r="V75" s="39">
        <v>9.68</v>
      </c>
    </row>
    <row r="76" spans="1:22" s="33" customFormat="1" ht="23" customHeight="1">
      <c r="A76" s="33" t="s">
        <v>234</v>
      </c>
      <c r="F76" s="35">
        <v>2132</v>
      </c>
      <c r="J76" s="37" t="s">
        <v>80</v>
      </c>
      <c r="K76" s="37" t="s">
        <v>77</v>
      </c>
      <c r="L76" s="37"/>
      <c r="M76" s="37"/>
      <c r="P76" s="39" t="s">
        <v>4</v>
      </c>
      <c r="Q76" s="37"/>
      <c r="T76" s="40"/>
      <c r="V76" s="39">
        <v>0</v>
      </c>
    </row>
    <row r="77" spans="1:22" s="33" customFormat="1" ht="23" customHeight="1">
      <c r="A77" s="33" t="s">
        <v>235</v>
      </c>
      <c r="E77" s="34">
        <v>42439</v>
      </c>
      <c r="F77" s="35">
        <v>2131</v>
      </c>
      <c r="H77" s="33">
        <v>3600</v>
      </c>
      <c r="I77" s="36">
        <v>18</v>
      </c>
      <c r="J77" s="37" t="s">
        <v>80</v>
      </c>
      <c r="K77" s="37" t="s">
        <v>113</v>
      </c>
      <c r="L77" s="38" t="s">
        <v>12</v>
      </c>
      <c r="M77" s="37"/>
      <c r="N77" s="37"/>
      <c r="O77" s="37"/>
      <c r="P77" s="39">
        <f>(I77-17.3)*((2/0.31)/0.73)</f>
        <v>6.186478126380905</v>
      </c>
      <c r="Q77" s="37"/>
      <c r="T77" s="40"/>
      <c r="V77" s="42">
        <v>6.19</v>
      </c>
    </row>
    <row r="78" spans="1:22" s="33" customFormat="1" ht="23" customHeight="1">
      <c r="A78" s="33" t="s">
        <v>236</v>
      </c>
      <c r="B78" s="33">
        <v>37.586388999999997</v>
      </c>
      <c r="C78" s="33">
        <v>139.641111</v>
      </c>
      <c r="E78" s="34">
        <v>42439</v>
      </c>
      <c r="F78" s="35">
        <v>2133</v>
      </c>
      <c r="H78" s="33">
        <v>3600</v>
      </c>
      <c r="I78" s="36">
        <v>17.5</v>
      </c>
      <c r="J78" s="37" t="s">
        <v>80</v>
      </c>
      <c r="K78" s="37" t="s">
        <v>106</v>
      </c>
      <c r="L78" s="38"/>
      <c r="M78" s="37"/>
      <c r="N78" s="37"/>
      <c r="O78" s="37"/>
      <c r="P78" s="39">
        <f>((2/0.31)*(290/3600))/5.46</f>
        <v>9.5185579056546801E-2</v>
      </c>
      <c r="Q78" s="37" t="s">
        <v>60</v>
      </c>
      <c r="T78" s="40"/>
      <c r="V78" s="39">
        <v>0.1</v>
      </c>
    </row>
    <row r="79" spans="1:22" s="33" customFormat="1" ht="23" customHeight="1">
      <c r="A79" s="33" t="s">
        <v>237</v>
      </c>
      <c r="B79" s="33">
        <v>37.585278000000002</v>
      </c>
      <c r="C79" s="33">
        <v>139.64250000000001</v>
      </c>
      <c r="E79" s="34">
        <v>42442</v>
      </c>
      <c r="F79" s="35">
        <v>2135</v>
      </c>
      <c r="H79" s="33">
        <v>3600</v>
      </c>
      <c r="I79" s="36">
        <f>64903/3600</f>
        <v>18.028611111111111</v>
      </c>
      <c r="J79" s="37" t="s">
        <v>80</v>
      </c>
      <c r="K79" s="37" t="s">
        <v>77</v>
      </c>
      <c r="L79" s="38"/>
      <c r="M79" s="37"/>
      <c r="N79" s="37"/>
      <c r="O79" s="37"/>
      <c r="P79" s="39">
        <f>(I79-17.8)*((2/0.31)/0.2)</f>
        <v>7.3745519713261425</v>
      </c>
      <c r="Q79" s="37"/>
      <c r="T79" s="40"/>
      <c r="V79" s="39">
        <v>7.37</v>
      </c>
    </row>
    <row r="80" spans="1:22" s="33" customFormat="1" ht="23" customHeight="1">
      <c r="A80" s="33" t="s">
        <v>238</v>
      </c>
      <c r="B80" s="33">
        <v>37.525556000000002</v>
      </c>
      <c r="C80" s="33">
        <v>141.23527799999999</v>
      </c>
      <c r="E80" s="34">
        <v>42439</v>
      </c>
      <c r="F80" s="35">
        <v>2134</v>
      </c>
      <c r="H80" s="33">
        <v>3600</v>
      </c>
      <c r="I80" s="36">
        <v>17.899999999999999</v>
      </c>
      <c r="J80" s="37" t="s">
        <v>80</v>
      </c>
      <c r="K80" s="37" t="s">
        <v>109</v>
      </c>
      <c r="L80" s="38"/>
      <c r="M80" s="37"/>
      <c r="N80" s="37"/>
      <c r="O80" s="37"/>
      <c r="P80" s="39">
        <f>(I80-17.3)*((2/0.31)/0.74)</f>
        <v>5.2310374891019871</v>
      </c>
      <c r="Q80" s="37"/>
      <c r="T80" s="40"/>
      <c r="V80" s="39">
        <v>5.23</v>
      </c>
    </row>
    <row r="81" spans="1:22" s="33" customFormat="1" ht="23" customHeight="1">
      <c r="A81" s="33" t="s">
        <v>239</v>
      </c>
      <c r="B81" s="49">
        <v>37.820824999999999</v>
      </c>
      <c r="C81" s="49">
        <v>140.95140000000001</v>
      </c>
      <c r="E81" s="34">
        <v>42442</v>
      </c>
      <c r="F81" s="35">
        <v>2136</v>
      </c>
      <c r="H81" s="33">
        <v>3600</v>
      </c>
      <c r="I81" s="36">
        <f>64292/3600</f>
        <v>17.858888888888888</v>
      </c>
      <c r="J81" s="37" t="s">
        <v>80</v>
      </c>
      <c r="K81" s="37">
        <v>80.900000000000006</v>
      </c>
      <c r="L81" s="38"/>
      <c r="M81" s="37"/>
      <c r="N81" s="37"/>
      <c r="O81" s="37"/>
      <c r="P81" s="39">
        <f>(I81-17.3)*((2/0.31)/80.9)</f>
        <v>4.4570269060878617E-2</v>
      </c>
      <c r="Q81" s="37"/>
      <c r="T81" s="40"/>
      <c r="V81" s="39">
        <v>0.04</v>
      </c>
    </row>
    <row r="82" spans="1:22" s="33" customFormat="1" ht="23" customHeight="1">
      <c r="A82" s="33" t="s">
        <v>240</v>
      </c>
      <c r="E82" s="34">
        <v>42442</v>
      </c>
      <c r="F82" s="35">
        <v>2137</v>
      </c>
      <c r="H82" s="33">
        <v>3600</v>
      </c>
      <c r="I82" s="36">
        <v>18.3</v>
      </c>
      <c r="J82" s="37" t="s">
        <v>80</v>
      </c>
      <c r="K82" s="37">
        <v>0.24</v>
      </c>
      <c r="L82" s="38"/>
      <c r="M82" s="37"/>
      <c r="N82" s="37"/>
      <c r="O82" s="37"/>
      <c r="P82" s="39">
        <f>(I82-17.3)*((2/0.31)/0.24)</f>
        <v>26.881720430107531</v>
      </c>
      <c r="Q82" s="37"/>
      <c r="T82" s="40"/>
      <c r="V82" s="39">
        <v>26.88</v>
      </c>
    </row>
    <row r="83" spans="1:22" s="33" customFormat="1" ht="23" customHeight="1">
      <c r="A83" s="33" t="s">
        <v>241</v>
      </c>
      <c r="B83" s="33">
        <v>35.689563999999997</v>
      </c>
      <c r="C83" s="33">
        <v>139.69197199999999</v>
      </c>
      <c r="E83" s="34">
        <v>42442</v>
      </c>
      <c r="F83" s="35">
        <v>2138</v>
      </c>
      <c r="H83" s="33">
        <v>3600</v>
      </c>
      <c r="I83" s="36">
        <v>19.899999999999999</v>
      </c>
      <c r="J83" s="37" t="s">
        <v>80</v>
      </c>
      <c r="K83" s="37">
        <v>1.83</v>
      </c>
      <c r="L83" s="38"/>
      <c r="M83" s="37"/>
      <c r="N83" s="37"/>
      <c r="O83" s="37"/>
      <c r="P83" s="39">
        <f>(I83-17.3)*((2/0.31)/1.83)</f>
        <v>9.166225982725182</v>
      </c>
      <c r="Q83" s="37"/>
      <c r="R83" s="33">
        <v>0.14499999999999999</v>
      </c>
      <c r="S83" s="33">
        <v>0.216</v>
      </c>
      <c r="T83" s="40">
        <f>P83*1.83</f>
        <v>16.774193548387082</v>
      </c>
      <c r="V83" s="39">
        <v>9.17</v>
      </c>
    </row>
    <row r="84" spans="1:22" s="33" customFormat="1" ht="23" customHeight="1">
      <c r="A84" s="33" t="s">
        <v>242</v>
      </c>
      <c r="B84" s="33">
        <v>37.6</v>
      </c>
      <c r="C84" s="33">
        <v>140.9075</v>
      </c>
      <c r="E84" s="34">
        <v>42442</v>
      </c>
      <c r="F84" s="35">
        <v>2139</v>
      </c>
      <c r="H84" s="33">
        <v>3600</v>
      </c>
      <c r="I84" s="36">
        <v>24</v>
      </c>
      <c r="J84" s="37" t="s">
        <v>80</v>
      </c>
      <c r="K84" s="37">
        <v>0.14000000000000001</v>
      </c>
      <c r="L84" s="37"/>
      <c r="M84" s="37"/>
      <c r="P84" s="39">
        <f>(I84-17.3)*((2/0.31)/0.14)</f>
        <v>308.75576036866357</v>
      </c>
      <c r="Q84" s="37"/>
      <c r="T84" s="40"/>
      <c r="V84" s="39">
        <v>308.76</v>
      </c>
    </row>
    <row r="85" spans="1:22" s="33" customFormat="1" ht="23" customHeight="1">
      <c r="A85" s="33" t="s">
        <v>243</v>
      </c>
      <c r="E85" s="34">
        <v>42445</v>
      </c>
      <c r="F85" s="35">
        <v>2141</v>
      </c>
      <c r="H85" s="33">
        <v>3600</v>
      </c>
      <c r="I85" s="36">
        <v>18.100000000000001</v>
      </c>
      <c r="J85" s="37" t="s">
        <v>80</v>
      </c>
      <c r="K85" s="37" t="s">
        <v>117</v>
      </c>
      <c r="L85" s="38"/>
      <c r="M85" s="37"/>
      <c r="N85" s="37"/>
      <c r="O85" s="37"/>
      <c r="P85" s="39">
        <f>(I85-17.3)*((2/0.31)/3.8)</f>
        <v>1.3582342954159607</v>
      </c>
      <c r="Q85" s="37"/>
      <c r="R85" s="33">
        <v>0.153</v>
      </c>
      <c r="S85" s="33">
        <v>0.13400000000000001</v>
      </c>
      <c r="T85" s="40">
        <f>P85*3.8</f>
        <v>5.1612903225806503</v>
      </c>
      <c r="V85" s="39">
        <v>1.36</v>
      </c>
    </row>
    <row r="86" spans="1:22" s="33" customFormat="1" ht="23" customHeight="1">
      <c r="A86" s="33" t="s">
        <v>244</v>
      </c>
      <c r="B86" s="33">
        <v>37.655278000000003</v>
      </c>
      <c r="C86" s="33">
        <v>140.93472199999999</v>
      </c>
      <c r="E86" s="34">
        <v>42444</v>
      </c>
      <c r="F86" s="35">
        <v>2140</v>
      </c>
      <c r="H86" s="33">
        <v>3600</v>
      </c>
      <c r="I86" s="36">
        <v>18.399999999999999</v>
      </c>
      <c r="J86" s="37" t="s">
        <v>80</v>
      </c>
      <c r="K86" s="37" t="s">
        <v>77</v>
      </c>
      <c r="L86" s="38"/>
      <c r="M86" s="37"/>
      <c r="N86" s="37"/>
      <c r="O86" s="37"/>
      <c r="P86" s="39">
        <f>(I86-17.8)*((2/0.31)/0.2)</f>
        <v>19.354838709677349</v>
      </c>
      <c r="Q86" s="37"/>
      <c r="T86" s="40"/>
      <c r="V86" s="39">
        <v>19.350000000000001</v>
      </c>
    </row>
    <row r="87" spans="1:22" s="33" customFormat="1" ht="23" customHeight="1">
      <c r="A87" s="33" t="s">
        <v>245</v>
      </c>
      <c r="B87" s="33">
        <v>37.219166999999999</v>
      </c>
      <c r="C87" s="33">
        <v>140.991389</v>
      </c>
      <c r="E87" s="34">
        <v>42446</v>
      </c>
      <c r="F87" s="35">
        <v>2143</v>
      </c>
      <c r="H87" s="33">
        <v>3600</v>
      </c>
      <c r="I87" s="36">
        <f>68519/3600</f>
        <v>19.033055555555556</v>
      </c>
      <c r="J87" s="37" t="s">
        <v>80</v>
      </c>
      <c r="K87" s="37" t="s">
        <v>77</v>
      </c>
      <c r="L87" s="38"/>
      <c r="M87" s="37"/>
      <c r="N87" s="37"/>
      <c r="O87" s="37"/>
      <c r="P87" s="39">
        <f>(I87-17.8)*((2/0.31)/0.2)</f>
        <v>39.775985663082437</v>
      </c>
      <c r="Q87" s="37"/>
      <c r="T87" s="40"/>
      <c r="V87" s="39">
        <v>39.78</v>
      </c>
    </row>
    <row r="88" spans="1:22" s="33" customFormat="1" ht="23" customHeight="1">
      <c r="A88" s="33" t="s">
        <v>246</v>
      </c>
      <c r="B88" s="33">
        <v>37.664166999999999</v>
      </c>
      <c r="C88" s="33">
        <v>140.90361100000001</v>
      </c>
      <c r="E88" s="34">
        <v>42447</v>
      </c>
      <c r="F88" s="35">
        <v>2144</v>
      </c>
      <c r="H88" s="33">
        <v>3600</v>
      </c>
      <c r="I88" s="36">
        <f>69367/3600</f>
        <v>19.26861111111111</v>
      </c>
      <c r="J88" s="37" t="s">
        <v>80</v>
      </c>
      <c r="K88" s="37" t="s">
        <v>77</v>
      </c>
      <c r="L88" s="38"/>
      <c r="M88" s="37"/>
      <c r="N88" s="37"/>
      <c r="O88" s="37"/>
      <c r="P88" s="39">
        <f>(I88-17.8)*((2/0.31)/0.2)</f>
        <v>47.374551971326092</v>
      </c>
      <c r="Q88" s="37"/>
      <c r="R88" s="33">
        <v>0.11700000000000001</v>
      </c>
      <c r="S88" s="33">
        <v>0.19400000000000001</v>
      </c>
      <c r="T88" s="40">
        <f>P88*0.2</f>
        <v>9.4749103942652191</v>
      </c>
      <c r="V88" s="39">
        <v>47.37</v>
      </c>
    </row>
    <row r="89" spans="1:22" s="33" customFormat="1" ht="23" customHeight="1">
      <c r="A89" s="33" t="s">
        <v>247</v>
      </c>
      <c r="B89" s="49">
        <v>37.834172199999998</v>
      </c>
      <c r="C89" s="49">
        <v>140.94348059999999</v>
      </c>
      <c r="E89" s="34">
        <v>42450</v>
      </c>
      <c r="F89" s="35" t="s">
        <v>19</v>
      </c>
      <c r="H89" s="33">
        <v>11767</v>
      </c>
      <c r="I89" s="36">
        <v>6</v>
      </c>
      <c r="J89" s="37" t="s">
        <v>20</v>
      </c>
      <c r="K89" s="37" t="s">
        <v>77</v>
      </c>
      <c r="L89" s="38"/>
      <c r="M89" s="37"/>
      <c r="N89" s="37"/>
      <c r="O89" s="37"/>
      <c r="P89" s="39" t="s">
        <v>4</v>
      </c>
      <c r="Q89" s="37"/>
      <c r="T89" s="40"/>
      <c r="V89" s="39">
        <v>0</v>
      </c>
    </row>
    <row r="90" spans="1:22" s="33" customFormat="1" ht="23" customHeight="1">
      <c r="A90" s="33" t="s">
        <v>248</v>
      </c>
      <c r="B90" s="33">
        <v>35.672167000000002</v>
      </c>
      <c r="C90" s="33">
        <v>139.75341499999999</v>
      </c>
      <c r="E90" s="34">
        <v>42451</v>
      </c>
      <c r="F90" s="35">
        <v>2145</v>
      </c>
      <c r="H90" s="33">
        <v>3600</v>
      </c>
      <c r="I90" s="36">
        <f>65521/3600</f>
        <v>18.200277777777778</v>
      </c>
      <c r="J90" s="37" t="s">
        <v>80</v>
      </c>
      <c r="K90" s="37" t="s">
        <v>130</v>
      </c>
      <c r="L90" s="38"/>
      <c r="M90" s="37"/>
      <c r="N90" s="37"/>
      <c r="O90" s="37"/>
      <c r="P90" s="39">
        <f>4.851*(2.21/2.01)</f>
        <v>5.3336865671641789</v>
      </c>
      <c r="Q90" s="37" t="s">
        <v>126</v>
      </c>
      <c r="T90" s="40"/>
      <c r="V90" s="39">
        <v>5.33</v>
      </c>
    </row>
    <row r="91" spans="1:22" s="33" customFormat="1" ht="23" customHeight="1">
      <c r="A91" s="33" t="s">
        <v>248</v>
      </c>
      <c r="B91" s="33">
        <v>35.672167000000002</v>
      </c>
      <c r="C91" s="33">
        <v>139.75341499999999</v>
      </c>
      <c r="E91" s="34">
        <v>42452</v>
      </c>
      <c r="F91" s="35"/>
      <c r="H91" s="33">
        <v>59517</v>
      </c>
      <c r="I91" s="36"/>
      <c r="J91" s="37" t="s">
        <v>20</v>
      </c>
      <c r="K91" s="37" t="s">
        <v>130</v>
      </c>
      <c r="L91" s="38"/>
      <c r="M91" s="37"/>
      <c r="N91" s="37"/>
      <c r="O91" s="37"/>
      <c r="P91" s="39">
        <f>((19.8/2.41)+5.334)/2</f>
        <v>6.7748838174273853</v>
      </c>
      <c r="Q91" s="37" t="s">
        <v>129</v>
      </c>
      <c r="T91" s="40"/>
      <c r="V91" s="39">
        <v>6.77</v>
      </c>
    </row>
    <row r="92" spans="1:22" s="33" customFormat="1" ht="23" customHeight="1">
      <c r="A92" s="33" t="s">
        <v>249</v>
      </c>
      <c r="B92" s="33">
        <v>35.671365000000002</v>
      </c>
      <c r="C92" s="33">
        <v>139.75207399999999</v>
      </c>
      <c r="E92" s="34">
        <v>42451</v>
      </c>
      <c r="F92" s="35">
        <v>2146</v>
      </c>
      <c r="H92" s="33">
        <v>3600</v>
      </c>
      <c r="I92" s="36">
        <f>65653/3600</f>
        <v>18.236944444444443</v>
      </c>
      <c r="J92" s="37" t="s">
        <v>80</v>
      </c>
      <c r="K92" s="37" t="s">
        <v>127</v>
      </c>
      <c r="L92" s="38"/>
      <c r="M92" s="37"/>
      <c r="N92" s="37"/>
      <c r="O92" s="37"/>
      <c r="P92" s="39">
        <f>(I92-17.3)*((2/0.31)/2.88)</f>
        <v>2.0988898845081603</v>
      </c>
      <c r="Q92" s="37"/>
      <c r="S92" s="33">
        <v>0.16800000000000001</v>
      </c>
      <c r="T92" s="40"/>
      <c r="V92" s="39">
        <v>2.1</v>
      </c>
    </row>
    <row r="93" spans="1:22" s="33" customFormat="1" ht="23" customHeight="1">
      <c r="A93" s="33" t="s">
        <v>250</v>
      </c>
      <c r="B93" s="33">
        <v>37.613999999999997</v>
      </c>
      <c r="C93" s="33">
        <v>140.797</v>
      </c>
      <c r="E93" s="34">
        <v>42451</v>
      </c>
      <c r="F93" s="51" t="s">
        <v>128</v>
      </c>
      <c r="H93" s="33">
        <v>3600</v>
      </c>
      <c r="I93" s="36">
        <f>(65268+67206)/7200</f>
        <v>18.399166666666666</v>
      </c>
      <c r="J93" s="37" t="s">
        <v>80</v>
      </c>
      <c r="K93" s="37" t="s">
        <v>125</v>
      </c>
      <c r="L93" s="38"/>
      <c r="M93" s="37"/>
      <c r="N93" s="37"/>
      <c r="O93" s="37"/>
      <c r="P93" s="52">
        <f>(I93-17.3)*((2/0.31)/1.5)</f>
        <v>4.7275985663082389</v>
      </c>
      <c r="Q93" s="37" t="s">
        <v>124</v>
      </c>
      <c r="T93" s="40"/>
      <c r="V93" s="39">
        <v>4.7300000000000004</v>
      </c>
    </row>
    <row r="94" spans="1:22" s="33" customFormat="1" ht="23" customHeight="1">
      <c r="A94" s="33" t="s">
        <v>251</v>
      </c>
      <c r="B94" s="33">
        <v>37.613999999999997</v>
      </c>
      <c r="C94" s="33">
        <v>140.797</v>
      </c>
      <c r="E94" s="34">
        <v>42452</v>
      </c>
      <c r="F94" s="35">
        <v>2148</v>
      </c>
      <c r="H94" s="33">
        <v>3600</v>
      </c>
      <c r="I94" s="36">
        <f>(19.2+20.53)/2</f>
        <v>19.865000000000002</v>
      </c>
      <c r="J94" s="37" t="s">
        <v>80</v>
      </c>
      <c r="K94" s="37" t="s">
        <v>125</v>
      </c>
      <c r="L94" s="38"/>
      <c r="M94" s="37"/>
      <c r="N94" s="37"/>
      <c r="O94" s="37"/>
      <c r="P94" s="52">
        <f>(I94-17.3)*((2/0.31)/1.5)</f>
        <v>11.032258064516137</v>
      </c>
      <c r="Q94" s="37" t="s">
        <v>131</v>
      </c>
      <c r="T94" s="40"/>
      <c r="V94" s="39">
        <v>11.03</v>
      </c>
    </row>
    <row r="95" spans="1:22" s="33" customFormat="1" ht="23" customHeight="1">
      <c r="A95" s="33" t="s">
        <v>252</v>
      </c>
      <c r="B95" s="50">
        <v>37.839167000000003</v>
      </c>
      <c r="C95" s="50">
        <v>140.93777800000001</v>
      </c>
      <c r="E95" s="34">
        <v>42461</v>
      </c>
      <c r="F95" s="35">
        <v>2160</v>
      </c>
      <c r="H95" s="33">
        <v>3600</v>
      </c>
      <c r="I95" s="36">
        <v>18</v>
      </c>
      <c r="J95" s="37" t="s">
        <v>80</v>
      </c>
      <c r="K95" s="37" t="s">
        <v>77</v>
      </c>
      <c r="L95" s="38"/>
      <c r="M95" s="37"/>
      <c r="N95" s="37"/>
      <c r="O95" s="37"/>
      <c r="P95" s="39">
        <f>(I95-17.9)*((2/0.31)/0.2)</f>
        <v>3.2258064516129492</v>
      </c>
      <c r="Q95" s="37"/>
      <c r="T95" s="40"/>
      <c r="V95" s="52">
        <v>3.23</v>
      </c>
    </row>
    <row r="96" spans="1:22" s="33" customFormat="1" ht="23" customHeight="1">
      <c r="A96" s="33" t="s">
        <v>253</v>
      </c>
      <c r="B96" s="49">
        <v>37.657141699999997</v>
      </c>
      <c r="C96" s="49">
        <v>140.9318083</v>
      </c>
      <c r="E96" s="34">
        <v>42467</v>
      </c>
      <c r="F96" s="35"/>
      <c r="G96" s="33">
        <f>66/0.3</f>
        <v>220</v>
      </c>
      <c r="H96" s="33">
        <v>57744</v>
      </c>
      <c r="I96" s="36">
        <f>G96/H96</f>
        <v>3.8099196453311168E-3</v>
      </c>
      <c r="J96" s="37" t="s">
        <v>20</v>
      </c>
      <c r="K96" s="37" t="s">
        <v>76</v>
      </c>
      <c r="L96" s="38">
        <f>I96/(0.32*0.1)</f>
        <v>0.1190599889165974</v>
      </c>
      <c r="M96" s="37"/>
      <c r="N96" s="37"/>
      <c r="O96" s="37"/>
      <c r="P96" s="53">
        <v>0.12</v>
      </c>
      <c r="Q96" s="37"/>
      <c r="T96" s="40"/>
      <c r="V96" s="52">
        <v>0.12</v>
      </c>
    </row>
    <row r="97" spans="1:22" s="33" customFormat="1" ht="23" customHeight="1">
      <c r="A97" s="33" t="s">
        <v>254</v>
      </c>
      <c r="B97" s="33">
        <v>37.656388999999997</v>
      </c>
      <c r="C97" s="33">
        <v>140.93972199999999</v>
      </c>
      <c r="E97" s="34">
        <v>42468</v>
      </c>
      <c r="F97" s="35"/>
      <c r="G97" s="33">
        <v>407</v>
      </c>
      <c r="H97" s="33">
        <v>73613</v>
      </c>
      <c r="I97" s="36"/>
      <c r="J97" s="37" t="s">
        <v>20</v>
      </c>
      <c r="K97" s="37" t="s">
        <v>76</v>
      </c>
      <c r="L97" s="38">
        <f>(G97/H97)/(0.32*0.1)</f>
        <v>0.17277858530422616</v>
      </c>
      <c r="M97" s="37"/>
      <c r="N97" s="37"/>
      <c r="O97" s="37"/>
      <c r="P97" s="53">
        <v>0.17</v>
      </c>
      <c r="Q97" s="37" t="s">
        <v>133</v>
      </c>
      <c r="T97" s="40"/>
      <c r="V97" s="39">
        <v>0.17</v>
      </c>
    </row>
    <row r="98" spans="1:22" s="33" customFormat="1" ht="23" customHeight="1">
      <c r="A98" s="33" t="s">
        <v>255</v>
      </c>
      <c r="B98" s="33">
        <v>37.219166999999999</v>
      </c>
      <c r="C98" s="33">
        <v>140.991389</v>
      </c>
      <c r="E98" s="34"/>
      <c r="F98" s="35"/>
      <c r="G98" s="33">
        <v>40</v>
      </c>
      <c r="H98" s="33">
        <v>161068</v>
      </c>
      <c r="I98" s="36"/>
      <c r="J98" s="37" t="s">
        <v>20</v>
      </c>
      <c r="K98" s="37" t="s">
        <v>76</v>
      </c>
      <c r="L98" s="38"/>
      <c r="M98" s="37"/>
      <c r="N98" s="37"/>
      <c r="O98" s="37"/>
      <c r="P98" s="53" t="s">
        <v>4</v>
      </c>
      <c r="Q98" s="37"/>
      <c r="T98" s="40"/>
      <c r="V98" s="53">
        <v>0</v>
      </c>
    </row>
    <row r="99" spans="1:22" s="33" customFormat="1" ht="23" customHeight="1">
      <c r="A99" s="33" t="s">
        <v>256</v>
      </c>
      <c r="B99" s="33">
        <v>37.695278000000002</v>
      </c>
      <c r="C99" s="33">
        <v>140.745833</v>
      </c>
      <c r="E99" s="34"/>
      <c r="F99" s="35"/>
      <c r="G99" s="33">
        <v>22</v>
      </c>
      <c r="H99" s="33">
        <v>12494</v>
      </c>
      <c r="I99" s="36"/>
      <c r="J99" s="37" t="s">
        <v>20</v>
      </c>
      <c r="K99" s="37" t="s">
        <v>76</v>
      </c>
      <c r="L99" s="38"/>
      <c r="M99" s="37"/>
      <c r="N99" s="37"/>
      <c r="O99" s="37"/>
      <c r="P99" s="53" t="s">
        <v>4</v>
      </c>
      <c r="Q99" s="37"/>
      <c r="T99" s="40"/>
      <c r="V99" s="53">
        <v>0</v>
      </c>
    </row>
    <row r="100" spans="1:22" s="33" customFormat="1" ht="23" customHeight="1">
      <c r="A100" s="33" t="s">
        <v>257</v>
      </c>
      <c r="E100" s="34">
        <v>42522</v>
      </c>
      <c r="F100" s="35"/>
      <c r="I100" s="36"/>
      <c r="J100" s="37"/>
      <c r="K100" s="37">
        <v>3.08</v>
      </c>
      <c r="L100" s="38"/>
      <c r="M100" s="37"/>
      <c r="N100" s="37"/>
      <c r="O100" s="37"/>
      <c r="P100" s="53">
        <v>3.5</v>
      </c>
      <c r="Q100" s="37"/>
      <c r="T100" s="40"/>
      <c r="V100" s="53">
        <v>3.5</v>
      </c>
    </row>
    <row r="101" spans="1:22" s="33" customFormat="1" ht="23" customHeight="1">
      <c r="A101" s="33" t="s">
        <v>258</v>
      </c>
      <c r="B101" s="33">
        <v>37.599443999999998</v>
      </c>
      <c r="C101" s="33">
        <v>140.90805599999999</v>
      </c>
      <c r="E101" s="34">
        <v>42554</v>
      </c>
      <c r="F101" s="35"/>
      <c r="G101" s="33">
        <v>76</v>
      </c>
      <c r="H101" s="33">
        <v>168613</v>
      </c>
      <c r="I101" s="36"/>
      <c r="J101" s="37" t="s">
        <v>20</v>
      </c>
      <c r="K101" s="37" t="s">
        <v>77</v>
      </c>
      <c r="L101" s="38"/>
      <c r="M101" s="37"/>
      <c r="N101" s="37"/>
      <c r="O101" s="37"/>
      <c r="P101" s="53">
        <f>P103*(76/75)*(81808/168613)</f>
        <v>2.2615952348474515</v>
      </c>
      <c r="Q101" s="37"/>
      <c r="T101" s="40"/>
      <c r="V101" s="53">
        <v>2.2599999999999998</v>
      </c>
    </row>
    <row r="102" spans="1:22" s="33" customFormat="1" ht="23" customHeight="1">
      <c r="A102" s="33" t="s">
        <v>259</v>
      </c>
      <c r="B102" s="33">
        <v>37.599443999999998</v>
      </c>
      <c r="C102" s="33">
        <v>140.90805599999999</v>
      </c>
      <c r="E102" s="34"/>
      <c r="F102" s="35"/>
      <c r="G102" s="33">
        <v>217</v>
      </c>
      <c r="H102" s="33">
        <v>100264</v>
      </c>
      <c r="I102" s="36"/>
      <c r="J102" s="37" t="s">
        <v>20</v>
      </c>
      <c r="K102" s="37" t="s">
        <v>77</v>
      </c>
      <c r="L102" s="38"/>
      <c r="M102" s="37"/>
      <c r="N102" s="37"/>
      <c r="O102" s="37"/>
      <c r="P102" s="53">
        <f>4.6*(81808/100264)*(217/75)</f>
        <v>10.859430516769063</v>
      </c>
      <c r="Q102" s="37"/>
      <c r="T102" s="40"/>
      <c r="V102" s="53">
        <v>10.86</v>
      </c>
    </row>
    <row r="103" spans="1:22" s="33" customFormat="1" ht="23" customHeight="1">
      <c r="A103" s="33" t="s">
        <v>260</v>
      </c>
      <c r="B103" s="33">
        <v>37.661667000000001</v>
      </c>
      <c r="C103" s="33">
        <v>140.9025</v>
      </c>
      <c r="E103" s="34">
        <v>42552</v>
      </c>
      <c r="F103" s="35"/>
      <c r="G103" s="33">
        <v>75</v>
      </c>
      <c r="H103" s="33">
        <v>81808</v>
      </c>
      <c r="I103" s="36"/>
      <c r="J103" s="37" t="s">
        <v>20</v>
      </c>
      <c r="K103" s="37" t="s">
        <v>77</v>
      </c>
      <c r="L103" s="38"/>
      <c r="M103" s="37"/>
      <c r="N103" s="37"/>
      <c r="O103" s="37"/>
      <c r="P103" s="39">
        <v>4.5999999999999996</v>
      </c>
      <c r="Q103" s="37"/>
      <c r="T103" s="40"/>
      <c r="V103" s="53">
        <v>4.5999999999999996</v>
      </c>
    </row>
    <row r="104" spans="1:22" s="33" customFormat="1" ht="23" customHeight="1">
      <c r="A104" s="33" t="s">
        <v>261</v>
      </c>
      <c r="E104" s="34"/>
      <c r="F104" s="35"/>
      <c r="G104" s="33" t="s">
        <v>4</v>
      </c>
      <c r="H104" s="33">
        <v>62900</v>
      </c>
      <c r="I104" s="36"/>
      <c r="J104" s="37" t="s">
        <v>20</v>
      </c>
      <c r="K104" s="37" t="s">
        <v>77</v>
      </c>
      <c r="L104" s="38"/>
      <c r="M104" s="37"/>
      <c r="N104" s="37"/>
      <c r="O104" s="37"/>
      <c r="P104" s="39" t="s">
        <v>4</v>
      </c>
      <c r="Q104" s="37"/>
      <c r="T104" s="40"/>
      <c r="V104" s="53">
        <v>0</v>
      </c>
    </row>
    <row r="105" spans="1:22" s="33" customFormat="1" ht="23" customHeight="1">
      <c r="A105" s="33" t="s">
        <v>267</v>
      </c>
      <c r="B105" s="33">
        <v>37.554220999999998</v>
      </c>
      <c r="C105" s="33">
        <v>141.02742499999999</v>
      </c>
      <c r="E105" s="34">
        <v>42594</v>
      </c>
      <c r="F105" s="35"/>
      <c r="G105" s="33">
        <v>342074</v>
      </c>
      <c r="H105" s="33">
        <v>86306</v>
      </c>
      <c r="I105" s="36"/>
      <c r="J105" s="37" t="s">
        <v>20</v>
      </c>
      <c r="K105" s="37">
        <v>2.76</v>
      </c>
      <c r="L105" s="38">
        <f>(10728/H105)/(0.32*2.76)</f>
        <v>0.14074037877360535</v>
      </c>
      <c r="M105" s="37"/>
      <c r="N105" s="37"/>
      <c r="O105" s="37"/>
      <c r="P105" s="39">
        <v>0.14099999999999999</v>
      </c>
      <c r="Q105" s="37"/>
      <c r="T105" s="40"/>
      <c r="V105" s="39">
        <v>0.14099999999999999</v>
      </c>
    </row>
    <row r="106" spans="1:22" s="33" customFormat="1" ht="23" customHeight="1">
      <c r="A106" s="33" t="s">
        <v>268</v>
      </c>
      <c r="B106" s="33">
        <v>37.554208000000003</v>
      </c>
      <c r="C106" s="33">
        <v>141.02738600000001</v>
      </c>
      <c r="E106" s="34">
        <v>42596</v>
      </c>
      <c r="F106" s="35"/>
      <c r="G106" s="33">
        <v>228149</v>
      </c>
      <c r="H106" s="33">
        <v>69207</v>
      </c>
      <c r="I106" s="36"/>
      <c r="J106" s="37" t="s">
        <v>20</v>
      </c>
      <c r="K106" s="37">
        <v>3.22</v>
      </c>
      <c r="L106" s="38">
        <f>((19*203)/H106)/(0.32*3.22)</f>
        <v>5.4087108554613413E-2</v>
      </c>
      <c r="M106" s="37"/>
      <c r="N106" s="37"/>
      <c r="O106" s="37"/>
      <c r="P106" s="39">
        <v>5.3999999999999999E-2</v>
      </c>
      <c r="Q106" s="37"/>
      <c r="T106" s="40"/>
      <c r="V106" s="39">
        <v>5.3999999999999999E-2</v>
      </c>
    </row>
    <row r="107" spans="1:22" s="33" customFormat="1" ht="23" customHeight="1">
      <c r="A107" s="33" t="s">
        <v>269</v>
      </c>
      <c r="B107" s="33">
        <v>35.726033000000001</v>
      </c>
      <c r="C107" s="33">
        <v>139.90849900000001</v>
      </c>
      <c r="E107" s="34">
        <v>42597</v>
      </c>
      <c r="F107" s="35"/>
      <c r="G107" s="33">
        <v>259559</v>
      </c>
      <c r="H107" s="33">
        <v>90883</v>
      </c>
      <c r="I107" s="36"/>
      <c r="J107" s="37" t="s">
        <v>20</v>
      </c>
      <c r="K107" s="43">
        <v>3.8</v>
      </c>
      <c r="L107" s="38">
        <f>((12*91)/H107)/(0.32*3.8)</f>
        <v>9.8811253566615728E-3</v>
      </c>
      <c r="M107" s="37"/>
      <c r="N107" s="37"/>
      <c r="O107" s="37"/>
      <c r="P107" s="39">
        <v>0.01</v>
      </c>
      <c r="Q107" s="37"/>
      <c r="T107" s="40"/>
      <c r="V107" s="39">
        <v>0.01</v>
      </c>
    </row>
    <row r="108" spans="1:22" s="33" customFormat="1" ht="23" customHeight="1">
      <c r="A108" s="33" t="s">
        <v>270</v>
      </c>
      <c r="B108" s="33">
        <v>35.736887000000003</v>
      </c>
      <c r="C108" s="33">
        <v>139.901533</v>
      </c>
      <c r="E108" s="34">
        <v>42597</v>
      </c>
      <c r="F108" s="35"/>
      <c r="G108" s="33">
        <v>110279</v>
      </c>
      <c r="H108" s="33">
        <v>10912</v>
      </c>
      <c r="I108" s="36"/>
      <c r="J108" s="37" t="s">
        <v>20</v>
      </c>
      <c r="K108" s="43">
        <v>6.06</v>
      </c>
      <c r="L108" s="38">
        <f>((35*564)/H108)/(0.32*5.56)</f>
        <v>1.016758990168569</v>
      </c>
      <c r="M108" s="37"/>
      <c r="N108" s="37"/>
      <c r="O108" s="37"/>
      <c r="P108" s="39">
        <v>1.01</v>
      </c>
      <c r="Q108" s="37"/>
      <c r="T108" s="40"/>
      <c r="V108" s="39">
        <v>1.01</v>
      </c>
    </row>
    <row r="109" spans="1:22" s="33" customFormat="1" ht="23" customHeight="1">
      <c r="A109" s="33" t="s">
        <v>271</v>
      </c>
      <c r="B109" s="33">
        <v>35.738982</v>
      </c>
      <c r="C109" s="33">
        <v>139.90815699999999</v>
      </c>
      <c r="E109" s="34">
        <v>42598</v>
      </c>
      <c r="F109" s="35"/>
      <c r="G109" s="33">
        <v>217490</v>
      </c>
      <c r="H109" s="33">
        <v>61521</v>
      </c>
      <c r="I109" s="36"/>
      <c r="J109" s="37" t="s">
        <v>20</v>
      </c>
      <c r="K109" s="37">
        <v>8.5500000000000007</v>
      </c>
      <c r="L109" s="38">
        <f>((24*286)/H109)/(0.32*8.55)</f>
        <v>4.0779114933511502E-2</v>
      </c>
      <c r="M109" s="37"/>
      <c r="N109" s="37"/>
      <c r="O109" s="37"/>
      <c r="P109" s="39">
        <v>0.04</v>
      </c>
      <c r="Q109" s="37"/>
      <c r="T109" s="40"/>
      <c r="V109" s="39">
        <v>0.04</v>
      </c>
    </row>
    <row r="110" spans="1:22" s="33" customFormat="1" ht="23" customHeight="1">
      <c r="A110" s="33" t="s">
        <v>272</v>
      </c>
      <c r="B110" s="33">
        <v>37.491557</v>
      </c>
      <c r="C110" s="33">
        <v>141.030145</v>
      </c>
      <c r="E110" s="34">
        <v>42598</v>
      </c>
      <c r="F110" s="35"/>
      <c r="G110" s="33">
        <v>55398</v>
      </c>
      <c r="H110" s="33">
        <v>9776</v>
      </c>
      <c r="I110" s="36"/>
      <c r="J110" s="37" t="s">
        <v>20</v>
      </c>
      <c r="K110" s="37">
        <v>4.53</v>
      </c>
      <c r="L110" s="38">
        <f>((24*156)/H110)/(0.32*4.53)</f>
        <v>0.26419613921375229</v>
      </c>
      <c r="M110" s="37"/>
      <c r="N110" s="37"/>
      <c r="O110" s="37"/>
      <c r="P110" s="39">
        <v>0.26</v>
      </c>
      <c r="Q110" s="37"/>
      <c r="T110" s="40"/>
      <c r="V110" s="39">
        <v>0.26</v>
      </c>
    </row>
    <row r="111" spans="1:22" s="33" customFormat="1" ht="23" customHeight="1">
      <c r="A111" s="33" t="s">
        <v>273</v>
      </c>
      <c r="B111" s="33">
        <v>37.257492999999997</v>
      </c>
      <c r="C111" s="33">
        <v>141.00933900000001</v>
      </c>
      <c r="E111" s="34">
        <v>42598</v>
      </c>
      <c r="F111" s="35"/>
      <c r="G111" s="33">
        <v>2036267</v>
      </c>
      <c r="H111" s="33">
        <v>500564</v>
      </c>
      <c r="I111" s="36">
        <f>41*(5759-2262)</f>
        <v>143377</v>
      </c>
      <c r="J111" s="37" t="s">
        <v>20</v>
      </c>
      <c r="K111" s="37">
        <v>2.86</v>
      </c>
      <c r="L111" s="38">
        <f>(I111/H111)/(0.3*2.73)</f>
        <v>0.34973248588290823</v>
      </c>
      <c r="M111" s="37"/>
      <c r="N111" s="37"/>
      <c r="O111" s="37"/>
      <c r="P111" s="39">
        <v>0.35</v>
      </c>
      <c r="Q111" s="37"/>
      <c r="T111" s="40"/>
      <c r="V111" s="39">
        <v>0.35</v>
      </c>
    </row>
    <row r="112" spans="1:22" s="33" customFormat="1" ht="23" customHeight="1">
      <c r="A112" s="33" t="s">
        <v>274</v>
      </c>
      <c r="B112" s="33">
        <v>37.524706000000002</v>
      </c>
      <c r="C112" s="33">
        <v>140.49858399999999</v>
      </c>
      <c r="E112" s="34">
        <v>42604</v>
      </c>
      <c r="F112" s="35"/>
      <c r="G112" s="33">
        <v>146230</v>
      </c>
      <c r="H112" s="33">
        <v>10591</v>
      </c>
      <c r="I112" s="36">
        <f>806*33</f>
        <v>26598</v>
      </c>
      <c r="J112" s="37" t="s">
        <v>20</v>
      </c>
      <c r="K112" s="37">
        <v>2.73</v>
      </c>
      <c r="L112" s="38">
        <f>(I112/H112)/(0.3*2.73)</f>
        <v>3.0663950973647891</v>
      </c>
      <c r="M112" s="37"/>
      <c r="N112" s="37"/>
      <c r="O112" s="37"/>
      <c r="P112" s="39">
        <v>3.07</v>
      </c>
      <c r="Q112" s="37"/>
      <c r="T112" s="40"/>
      <c r="V112" s="39">
        <v>3.07</v>
      </c>
    </row>
    <row r="113" spans="1:22" s="33" customFormat="1" ht="23" customHeight="1">
      <c r="A113" s="33" t="s">
        <v>275</v>
      </c>
      <c r="B113" s="33">
        <v>37.495058</v>
      </c>
      <c r="C113" s="33">
        <v>140.979252</v>
      </c>
      <c r="E113" s="34">
        <v>42604</v>
      </c>
      <c r="F113" s="35"/>
      <c r="G113" s="33">
        <v>699848</v>
      </c>
      <c r="H113" s="33">
        <v>5364</v>
      </c>
      <c r="I113" s="36">
        <f>5740*41</f>
        <v>235340</v>
      </c>
      <c r="J113" s="37" t="s">
        <v>20</v>
      </c>
      <c r="K113" s="43">
        <v>1.5</v>
      </c>
      <c r="L113" s="45">
        <f>(I113/H113)/(0.3*1.5)</f>
        <v>97.497721435081615</v>
      </c>
      <c r="M113" s="37"/>
      <c r="N113" s="37"/>
      <c r="O113" s="37"/>
      <c r="P113" s="39">
        <v>97.5</v>
      </c>
      <c r="Q113" s="37"/>
      <c r="T113" s="40"/>
      <c r="V113" s="39">
        <v>97.5</v>
      </c>
    </row>
    <row r="114" spans="1:22" s="33" customFormat="1" ht="23" customHeight="1">
      <c r="A114" s="33" t="s">
        <v>276</v>
      </c>
      <c r="B114" s="33">
        <v>34.590480999999997</v>
      </c>
      <c r="C114" s="33">
        <v>133.61979299999999</v>
      </c>
      <c r="E114" s="34">
        <v>42604</v>
      </c>
      <c r="F114" s="35"/>
      <c r="G114" s="33">
        <v>226032</v>
      </c>
      <c r="H114" s="33">
        <v>77448</v>
      </c>
      <c r="I114" s="36"/>
      <c r="J114" s="37" t="s">
        <v>20</v>
      </c>
      <c r="K114" s="37">
        <v>5.36</v>
      </c>
      <c r="L114" s="38" t="s">
        <v>4</v>
      </c>
      <c r="M114" s="37"/>
      <c r="N114" s="37"/>
      <c r="O114" s="37"/>
      <c r="P114" s="39">
        <v>0</v>
      </c>
      <c r="Q114" s="37"/>
      <c r="T114" s="40"/>
    </row>
    <row r="115" spans="1:22" s="33" customFormat="1" ht="23" customHeight="1">
      <c r="A115" s="33" t="s">
        <v>277</v>
      </c>
      <c r="B115" s="33">
        <v>35.772885000000002</v>
      </c>
      <c r="C115" s="33">
        <v>140.38709399999999</v>
      </c>
      <c r="E115" s="34">
        <v>42605</v>
      </c>
      <c r="F115" s="35"/>
      <c r="G115" s="33">
        <v>32569</v>
      </c>
      <c r="H115" s="33">
        <v>12622</v>
      </c>
      <c r="I115" s="36"/>
      <c r="J115" s="37" t="s">
        <v>20</v>
      </c>
      <c r="K115" s="37" t="s">
        <v>77</v>
      </c>
      <c r="L115" s="38">
        <f>(32/12622)/(0.3*0.2)</f>
        <v>4.2254265039877462E-2</v>
      </c>
      <c r="M115" s="37"/>
      <c r="N115" s="37"/>
      <c r="O115" s="37"/>
      <c r="P115" s="39">
        <v>0.04</v>
      </c>
      <c r="Q115" s="37"/>
      <c r="T115" s="40"/>
    </row>
    <row r="116" spans="1:22" s="33" customFormat="1" ht="23" customHeight="1">
      <c r="A116" s="33" t="s">
        <v>278</v>
      </c>
      <c r="B116" s="33">
        <v>37.332329999999999</v>
      </c>
      <c r="C116" s="33">
        <v>141.01876899999999</v>
      </c>
      <c r="E116" s="34">
        <v>42605</v>
      </c>
      <c r="F116" s="35"/>
      <c r="G116" s="33">
        <v>6654</v>
      </c>
      <c r="H116" s="33">
        <v>2407</v>
      </c>
      <c r="I116" s="36"/>
      <c r="J116" s="37" t="s">
        <v>20</v>
      </c>
      <c r="K116" s="37" t="s">
        <v>76</v>
      </c>
      <c r="L116" s="38">
        <f>(42/2407)/(0.3*0.1)</f>
        <v>0.58163689239717487</v>
      </c>
      <c r="M116" s="37"/>
      <c r="N116" s="37"/>
      <c r="O116" s="37"/>
      <c r="P116" s="39">
        <v>0.57999999999999996</v>
      </c>
      <c r="Q116" s="37"/>
      <c r="T116" s="40"/>
    </row>
    <row r="117" spans="1:22" s="33" customFormat="1" ht="23" customHeight="1">
      <c r="E117" s="34"/>
      <c r="F117" s="35"/>
      <c r="I117" s="36"/>
      <c r="J117" s="37"/>
      <c r="K117" s="37"/>
      <c r="L117" s="38"/>
      <c r="M117" s="37"/>
      <c r="N117" s="37"/>
      <c r="O117" s="37"/>
      <c r="P117" s="39"/>
      <c r="Q117" s="37"/>
      <c r="T117" s="40"/>
    </row>
    <row r="118" spans="1:22" s="33" customFormat="1" ht="23" customHeight="1">
      <c r="A118" s="33" t="s">
        <v>145</v>
      </c>
      <c r="E118" s="34"/>
      <c r="F118" s="35"/>
      <c r="I118" s="36"/>
      <c r="J118" s="37"/>
      <c r="K118" s="37"/>
      <c r="L118" s="38"/>
      <c r="M118" s="37"/>
      <c r="N118" s="37"/>
      <c r="O118" s="37"/>
      <c r="P118" s="39"/>
      <c r="Q118" s="37"/>
      <c r="T118" s="40"/>
    </row>
    <row r="119" spans="1:22" ht="23" customHeight="1">
      <c r="A119" s="31" t="s">
        <v>279</v>
      </c>
      <c r="B119" s="31">
        <v>35.698366999999998</v>
      </c>
      <c r="C119" s="31">
        <v>139.773146</v>
      </c>
      <c r="E119" s="2">
        <v>42608</v>
      </c>
      <c r="G119" s="31"/>
      <c r="H119" s="20"/>
      <c r="I119" s="3"/>
      <c r="J119" s="32" t="s">
        <v>20</v>
      </c>
      <c r="K119" s="8" t="s">
        <v>76</v>
      </c>
      <c r="L119" s="15" t="s">
        <v>4</v>
      </c>
      <c r="N119" s="8"/>
      <c r="O119" s="8"/>
      <c r="P119" s="16">
        <v>0</v>
      </c>
      <c r="Q119" s="8" t="s">
        <v>144</v>
      </c>
    </row>
    <row r="120" spans="1:22" ht="23" customHeight="1">
      <c r="A120" s="20" t="s">
        <v>280</v>
      </c>
      <c r="B120" s="31">
        <v>37.237231999999999</v>
      </c>
      <c r="C120" s="31">
        <v>140.49990099999999</v>
      </c>
      <c r="E120" s="2">
        <v>42611</v>
      </c>
      <c r="G120" s="31"/>
      <c r="H120" s="20"/>
      <c r="I120" s="3"/>
      <c r="J120" s="32"/>
      <c r="L120" s="15"/>
      <c r="N120" s="8"/>
      <c r="O120" s="8"/>
      <c r="P120" s="16"/>
      <c r="Q120" s="8" t="s">
        <v>144</v>
      </c>
    </row>
    <row r="121" spans="1:22" ht="23" customHeight="1">
      <c r="A121" s="20" t="s">
        <v>281</v>
      </c>
      <c r="B121" s="31">
        <v>37.528737999999997</v>
      </c>
      <c r="C121" s="31">
        <v>140.984061</v>
      </c>
      <c r="E121" s="2">
        <v>42612</v>
      </c>
      <c r="G121" s="31">
        <v>258839</v>
      </c>
      <c r="H121" s="20">
        <v>88790</v>
      </c>
      <c r="I121" s="3">
        <f>272*21</f>
        <v>5712</v>
      </c>
      <c r="J121" s="32" t="s">
        <v>20</v>
      </c>
      <c r="K121" s="8" t="s">
        <v>76</v>
      </c>
      <c r="L121" s="45">
        <f>(5712/H121)/(0.3*0.1)</f>
        <v>2.1443856290122763</v>
      </c>
      <c r="N121" s="8"/>
      <c r="O121" s="8"/>
      <c r="P121" s="16">
        <v>2.14</v>
      </c>
    </row>
    <row r="122" spans="1:22" ht="23" customHeight="1">
      <c r="A122" s="20" t="s">
        <v>282</v>
      </c>
      <c r="B122" s="31"/>
      <c r="C122" s="31"/>
      <c r="E122" s="2">
        <v>42612</v>
      </c>
      <c r="G122" s="31">
        <v>178334</v>
      </c>
      <c r="H122" s="20">
        <v>67118</v>
      </c>
      <c r="I122" s="3"/>
      <c r="J122" s="32" t="s">
        <v>20</v>
      </c>
      <c r="K122" s="8" t="s">
        <v>77</v>
      </c>
      <c r="L122" s="15" t="s">
        <v>4</v>
      </c>
      <c r="N122" s="8"/>
      <c r="O122" s="8"/>
      <c r="P122" s="16">
        <v>0</v>
      </c>
      <c r="Q122" s="8" t="s">
        <v>146</v>
      </c>
    </row>
    <row r="123" spans="1:22" ht="23" customHeight="1">
      <c r="E123" s="2"/>
      <c r="I123" s="3"/>
      <c r="K123" s="11"/>
      <c r="N123" s="8"/>
      <c r="O123" s="8"/>
    </row>
    <row r="124" spans="1:22" s="12" customFormat="1" ht="23" customHeight="1">
      <c r="F124" s="13"/>
      <c r="J124" s="14"/>
      <c r="K124" s="14"/>
      <c r="L124" s="14"/>
      <c r="M124" s="14"/>
      <c r="P124" s="30"/>
      <c r="T124" s="19"/>
    </row>
    <row r="125" spans="1:22" ht="23" customHeight="1">
      <c r="B125" t="s">
        <v>283</v>
      </c>
      <c r="C125" t="s">
        <v>30</v>
      </c>
      <c r="E125" t="s">
        <v>143</v>
      </c>
      <c r="H125" s="10"/>
    </row>
    <row r="126" spans="1:22" s="20" customFormat="1" ht="15" customHeight="1">
      <c r="A126" s="26" t="s">
        <v>147</v>
      </c>
      <c r="B126" s="20">
        <f t="shared" ref="B126:B155" si="5">E126*1000</f>
        <v>1550</v>
      </c>
      <c r="C126" s="20">
        <v>1</v>
      </c>
      <c r="E126" s="20">
        <v>1.55</v>
      </c>
      <c r="F126" s="24"/>
      <c r="J126" s="23"/>
      <c r="K126" s="23"/>
      <c r="L126" s="23"/>
      <c r="M126" s="23"/>
      <c r="P126" s="21"/>
      <c r="Q126" s="23"/>
      <c r="T126" s="25"/>
      <c r="V126"/>
    </row>
    <row r="127" spans="1:22" s="20" customFormat="1" ht="15" customHeight="1">
      <c r="A127" s="20" t="s">
        <v>158</v>
      </c>
      <c r="B127" s="20">
        <f t="shared" si="5"/>
        <v>1500</v>
      </c>
      <c r="C127" s="20">
        <v>2</v>
      </c>
      <c r="E127" s="20">
        <v>1.5</v>
      </c>
      <c r="F127" s="24"/>
      <c r="J127" s="23"/>
      <c r="K127" s="22"/>
      <c r="L127" s="23"/>
      <c r="M127" s="23"/>
      <c r="P127" s="21"/>
      <c r="Q127" s="23"/>
      <c r="T127" s="25"/>
      <c r="V127"/>
    </row>
    <row r="128" spans="1:22" s="20" customFormat="1" ht="15" customHeight="1">
      <c r="A128" s="20" t="s">
        <v>159</v>
      </c>
      <c r="B128" s="20">
        <f t="shared" si="5"/>
        <v>1340</v>
      </c>
      <c r="C128" s="20">
        <v>3</v>
      </c>
      <c r="E128" s="20">
        <v>1.34</v>
      </c>
      <c r="F128" s="24"/>
      <c r="J128" s="23"/>
      <c r="K128" s="22"/>
      <c r="L128" s="23"/>
      <c r="M128" s="23"/>
      <c r="P128" s="21"/>
      <c r="Q128" s="23"/>
      <c r="T128" s="25"/>
      <c r="V128"/>
    </row>
    <row r="129" spans="1:22" s="20" customFormat="1" ht="15" customHeight="1">
      <c r="A129" s="20" t="s">
        <v>157</v>
      </c>
      <c r="B129" s="20">
        <f t="shared" si="5"/>
        <v>596</v>
      </c>
      <c r="C129" s="20">
        <v>4</v>
      </c>
      <c r="E129" s="20">
        <v>0.59599999999999997</v>
      </c>
      <c r="F129" s="24"/>
      <c r="J129" s="23"/>
      <c r="K129" s="23"/>
      <c r="L129" s="23"/>
      <c r="M129" s="23"/>
      <c r="P129" s="21"/>
      <c r="Q129" s="23"/>
      <c r="T129" s="25"/>
    </row>
    <row r="130" spans="1:22" s="20" customFormat="1" ht="15" customHeight="1">
      <c r="A130" s="20" t="s">
        <v>176</v>
      </c>
      <c r="B130" s="20">
        <f t="shared" si="5"/>
        <v>465</v>
      </c>
      <c r="C130" s="20">
        <v>5</v>
      </c>
      <c r="E130" s="20">
        <v>0.46500000000000002</v>
      </c>
      <c r="F130" s="24"/>
      <c r="J130" s="23"/>
      <c r="K130" s="22"/>
      <c r="L130" s="23"/>
      <c r="M130" s="23"/>
      <c r="P130" s="21"/>
      <c r="Q130" s="23"/>
      <c r="T130" s="25"/>
      <c r="V130"/>
    </row>
    <row r="131" spans="1:22" s="20" customFormat="1" ht="15" customHeight="1">
      <c r="A131" s="20" t="s">
        <v>177</v>
      </c>
      <c r="B131" s="20">
        <f t="shared" si="5"/>
        <v>309</v>
      </c>
      <c r="C131" s="20">
        <v>6</v>
      </c>
      <c r="E131" s="20">
        <v>0.309</v>
      </c>
      <c r="F131" s="24"/>
      <c r="J131" s="23"/>
      <c r="K131" s="22"/>
      <c r="L131" s="23"/>
      <c r="M131" s="23"/>
      <c r="P131" s="21"/>
      <c r="Q131" s="23"/>
      <c r="T131" s="25"/>
    </row>
    <row r="132" spans="1:22" s="20" customFormat="1" ht="15" customHeight="1">
      <c r="A132" s="20" t="s">
        <v>156</v>
      </c>
      <c r="B132" s="20">
        <f t="shared" si="5"/>
        <v>308</v>
      </c>
      <c r="C132" s="20">
        <v>7</v>
      </c>
      <c r="E132" s="20">
        <v>0.308</v>
      </c>
      <c r="F132" s="24"/>
      <c r="J132" s="23"/>
      <c r="K132" s="22"/>
      <c r="L132" s="23"/>
      <c r="M132" s="23"/>
      <c r="P132" s="21"/>
      <c r="Q132" s="23"/>
      <c r="T132" s="25"/>
    </row>
    <row r="133" spans="1:22" s="20" customFormat="1" ht="15" customHeight="1">
      <c r="A133" s="20" t="s">
        <v>160</v>
      </c>
      <c r="B133" s="20">
        <f t="shared" si="5"/>
        <v>258</v>
      </c>
      <c r="C133" s="20">
        <v>8</v>
      </c>
      <c r="E133" s="20">
        <v>0.25800000000000001</v>
      </c>
      <c r="F133" s="24"/>
      <c r="J133" s="23"/>
      <c r="K133" s="22"/>
      <c r="L133" s="23"/>
      <c r="M133" s="23"/>
      <c r="P133" s="21"/>
      <c r="Q133" s="23"/>
      <c r="T133" s="25"/>
    </row>
    <row r="134" spans="1:22" s="20" customFormat="1" ht="15" customHeight="1">
      <c r="A134" s="20" t="s">
        <v>161</v>
      </c>
      <c r="B134" s="20">
        <f t="shared" si="5"/>
        <v>250</v>
      </c>
      <c r="C134" s="20">
        <v>9</v>
      </c>
      <c r="E134" s="20">
        <v>0.25</v>
      </c>
      <c r="F134" s="24"/>
      <c r="J134" s="23"/>
      <c r="K134" s="22"/>
      <c r="L134" s="23"/>
      <c r="M134" s="23"/>
      <c r="P134" s="21"/>
      <c r="Q134" s="23"/>
      <c r="T134" s="25"/>
    </row>
    <row r="135" spans="1:22" s="20" customFormat="1" ht="15" customHeight="1">
      <c r="A135" s="20" t="s">
        <v>162</v>
      </c>
      <c r="B135" s="20">
        <f t="shared" si="5"/>
        <v>206</v>
      </c>
      <c r="C135" s="20">
        <v>10</v>
      </c>
      <c r="E135" s="20">
        <v>0.20599999999999999</v>
      </c>
      <c r="F135" s="24"/>
      <c r="J135" s="23"/>
      <c r="K135" s="23"/>
      <c r="L135" s="23"/>
      <c r="M135" s="23"/>
      <c r="P135" s="21"/>
      <c r="Q135" s="23"/>
      <c r="T135" s="25"/>
    </row>
    <row r="136" spans="1:22" s="20" customFormat="1" ht="15" customHeight="1">
      <c r="A136" s="20" t="s">
        <v>163</v>
      </c>
      <c r="B136" s="20">
        <f t="shared" si="5"/>
        <v>196</v>
      </c>
      <c r="C136" s="20">
        <v>11</v>
      </c>
      <c r="E136" s="20">
        <v>0.19600000000000001</v>
      </c>
      <c r="F136" s="24"/>
      <c r="J136" s="23"/>
      <c r="K136" s="23"/>
      <c r="L136" s="23"/>
      <c r="M136" s="23"/>
      <c r="P136" s="21"/>
      <c r="Q136" s="23"/>
      <c r="T136" s="25"/>
    </row>
    <row r="137" spans="1:22" s="20" customFormat="1" ht="15" customHeight="1">
      <c r="A137" s="20" t="s">
        <v>164</v>
      </c>
      <c r="B137" s="20">
        <f t="shared" si="5"/>
        <v>169</v>
      </c>
      <c r="C137" s="20">
        <v>12</v>
      </c>
      <c r="E137" s="20">
        <v>0.16900000000000001</v>
      </c>
      <c r="F137" s="24"/>
      <c r="J137" s="23"/>
      <c r="K137" s="23"/>
      <c r="L137" s="23"/>
      <c r="M137" s="23"/>
      <c r="P137" s="21"/>
      <c r="Q137" s="23"/>
      <c r="T137" s="25"/>
    </row>
    <row r="138" spans="1:22" s="20" customFormat="1" ht="15" customHeight="1">
      <c r="A138" s="20" t="s">
        <v>165</v>
      </c>
      <c r="B138" s="20">
        <f t="shared" si="5"/>
        <v>167</v>
      </c>
      <c r="C138" s="20">
        <v>13</v>
      </c>
      <c r="E138" s="20">
        <v>0.16700000000000001</v>
      </c>
      <c r="F138" s="24"/>
      <c r="J138" s="23"/>
      <c r="K138" s="23"/>
      <c r="L138" s="23"/>
      <c r="M138" s="23"/>
      <c r="P138" s="21"/>
      <c r="Q138" s="23"/>
      <c r="T138" s="25"/>
    </row>
    <row r="139" spans="1:22" s="20" customFormat="1" ht="15" customHeight="1">
      <c r="A139" s="20" t="s">
        <v>174</v>
      </c>
      <c r="B139" s="20">
        <f t="shared" si="5"/>
        <v>156</v>
      </c>
      <c r="C139" s="20">
        <v>14</v>
      </c>
      <c r="E139" s="20">
        <v>0.156</v>
      </c>
      <c r="F139" s="24"/>
      <c r="J139" s="23"/>
      <c r="K139" s="23"/>
      <c r="L139" s="23"/>
      <c r="M139" s="23"/>
      <c r="P139" s="21"/>
      <c r="Q139" s="23"/>
      <c r="T139" s="25"/>
    </row>
    <row r="140" spans="1:22" s="20" customFormat="1" ht="15" customHeight="1">
      <c r="A140" s="20" t="s">
        <v>174</v>
      </c>
      <c r="B140" s="20">
        <f t="shared" si="5"/>
        <v>135</v>
      </c>
      <c r="C140" s="20">
        <v>15</v>
      </c>
      <c r="E140" s="20">
        <v>0.13500000000000001</v>
      </c>
      <c r="F140" s="24"/>
      <c r="J140" s="23"/>
      <c r="K140" s="23"/>
      <c r="L140" s="23"/>
      <c r="M140" s="23"/>
      <c r="P140" s="21"/>
      <c r="Q140" s="23"/>
      <c r="T140" s="25"/>
    </row>
    <row r="141" spans="1:22" s="20" customFormat="1" ht="15" customHeight="1">
      <c r="A141" s="20" t="s">
        <v>174</v>
      </c>
      <c r="B141" s="20">
        <f t="shared" si="5"/>
        <v>124</v>
      </c>
      <c r="C141" s="20">
        <v>16</v>
      </c>
      <c r="E141" s="20">
        <v>0.124</v>
      </c>
      <c r="F141" s="24"/>
      <c r="J141" s="23"/>
      <c r="K141" s="23"/>
      <c r="L141" s="23"/>
      <c r="M141" s="23"/>
      <c r="P141" s="21"/>
      <c r="Q141" s="23"/>
      <c r="T141" s="25"/>
    </row>
    <row r="142" spans="1:22" s="20" customFormat="1" ht="15" customHeight="1">
      <c r="A142" s="20" t="s">
        <v>166</v>
      </c>
      <c r="B142" s="20">
        <f t="shared" si="5"/>
        <v>98</v>
      </c>
      <c r="C142" s="20">
        <v>17</v>
      </c>
      <c r="E142" s="20">
        <v>9.8000000000000004E-2</v>
      </c>
      <c r="F142" s="24"/>
      <c r="J142" s="23"/>
      <c r="K142" s="23"/>
      <c r="L142" s="23"/>
      <c r="M142" s="23"/>
      <c r="P142" s="21"/>
      <c r="Q142" s="23"/>
      <c r="T142" s="25"/>
    </row>
    <row r="143" spans="1:22" s="20" customFormat="1" ht="15" customHeight="1">
      <c r="A143" s="20" t="s">
        <v>178</v>
      </c>
      <c r="B143" s="20">
        <f t="shared" si="5"/>
        <v>89</v>
      </c>
      <c r="C143" s="20">
        <v>18</v>
      </c>
      <c r="E143" s="20">
        <v>8.8999999999999996E-2</v>
      </c>
      <c r="F143" s="24"/>
      <c r="J143" s="23"/>
      <c r="K143" s="23"/>
      <c r="L143" s="23"/>
      <c r="M143" s="23"/>
      <c r="P143" s="21"/>
      <c r="Q143" s="23"/>
      <c r="T143" s="25"/>
    </row>
    <row r="144" spans="1:22" s="20" customFormat="1" ht="15" customHeight="1">
      <c r="A144" s="26" t="s">
        <v>167</v>
      </c>
      <c r="B144" s="20">
        <f t="shared" si="5"/>
        <v>85</v>
      </c>
      <c r="C144" s="20">
        <v>19</v>
      </c>
      <c r="E144" s="20">
        <v>8.5000000000000006E-2</v>
      </c>
      <c r="F144" s="24"/>
      <c r="J144" s="23"/>
      <c r="K144" s="23"/>
      <c r="L144" s="23"/>
      <c r="M144" s="23"/>
      <c r="P144" s="21"/>
      <c r="Q144" s="23"/>
      <c r="T144" s="25"/>
    </row>
    <row r="145" spans="1:22" s="20" customFormat="1" ht="15" customHeight="1">
      <c r="A145" s="26" t="s">
        <v>168</v>
      </c>
      <c r="B145" s="20">
        <f t="shared" si="5"/>
        <v>81</v>
      </c>
      <c r="C145" s="20">
        <v>20</v>
      </c>
      <c r="E145" s="20">
        <v>8.1000000000000003E-2</v>
      </c>
      <c r="F145" s="24"/>
      <c r="J145" s="23"/>
      <c r="K145" s="23"/>
      <c r="L145" s="23"/>
      <c r="M145" s="23"/>
      <c r="P145" s="21"/>
      <c r="Q145" s="23"/>
      <c r="T145" s="25"/>
    </row>
    <row r="146" spans="1:22" s="20" customFormat="1" ht="15" customHeight="1">
      <c r="A146" s="20" t="s">
        <v>169</v>
      </c>
      <c r="B146" s="20">
        <f t="shared" si="5"/>
        <v>74</v>
      </c>
      <c r="C146" s="20">
        <v>21</v>
      </c>
      <c r="E146" s="20">
        <v>7.3999999999999996E-2</v>
      </c>
      <c r="F146" s="24"/>
      <c r="J146" s="23"/>
      <c r="K146" s="23"/>
      <c r="L146" s="23"/>
      <c r="M146" s="23"/>
      <c r="P146" s="21"/>
      <c r="Q146" s="23"/>
      <c r="T146" s="25"/>
    </row>
    <row r="147" spans="1:22" s="20" customFormat="1" ht="15" customHeight="1">
      <c r="A147" s="20" t="s">
        <v>175</v>
      </c>
      <c r="B147" s="20">
        <f t="shared" si="5"/>
        <v>67</v>
      </c>
      <c r="C147" s="20">
        <v>22</v>
      </c>
      <c r="E147" s="20">
        <v>6.7000000000000004E-2</v>
      </c>
      <c r="F147" s="24"/>
      <c r="J147" s="23"/>
      <c r="K147" s="23"/>
      <c r="L147" s="23"/>
      <c r="M147" s="23"/>
      <c r="P147" s="21"/>
      <c r="Q147" s="23"/>
      <c r="T147" s="25"/>
    </row>
    <row r="148" spans="1:22" s="20" customFormat="1" ht="15" customHeight="1">
      <c r="A148" s="26" t="s">
        <v>170</v>
      </c>
      <c r="B148" s="20">
        <f t="shared" si="5"/>
        <v>48</v>
      </c>
      <c r="C148" s="20">
        <v>23</v>
      </c>
      <c r="E148" s="20">
        <v>4.8000000000000001E-2</v>
      </c>
      <c r="F148" s="24"/>
      <c r="J148" s="23"/>
      <c r="K148" s="23"/>
      <c r="L148" s="23"/>
      <c r="M148" s="23"/>
      <c r="P148" s="21"/>
      <c r="Q148" s="23"/>
      <c r="T148" s="25"/>
    </row>
    <row r="149" spans="1:22" s="20" customFormat="1" ht="15" customHeight="1">
      <c r="A149" s="20" t="s">
        <v>171</v>
      </c>
      <c r="B149" s="20">
        <f t="shared" si="5"/>
        <v>45</v>
      </c>
      <c r="C149" s="20">
        <v>24</v>
      </c>
      <c r="E149" s="20">
        <v>4.4999999999999998E-2</v>
      </c>
      <c r="F149" s="24"/>
      <c r="J149" s="23"/>
      <c r="K149" s="23"/>
      <c r="L149" s="23"/>
      <c r="M149" s="23"/>
      <c r="P149" s="21"/>
      <c r="Q149" s="23"/>
      <c r="R149" s="20" t="s">
        <v>284</v>
      </c>
      <c r="T149" s="25"/>
    </row>
    <row r="150" spans="1:22" s="20" customFormat="1" ht="15" customHeight="1">
      <c r="A150" s="26" t="s">
        <v>172</v>
      </c>
      <c r="B150" s="20">
        <f t="shared" si="5"/>
        <v>44</v>
      </c>
      <c r="C150" s="20">
        <v>25</v>
      </c>
      <c r="E150" s="20">
        <v>4.3999999999999997E-2</v>
      </c>
      <c r="F150" s="24"/>
      <c r="J150" s="23"/>
      <c r="K150" s="23"/>
      <c r="L150" s="23"/>
      <c r="M150" s="23"/>
      <c r="P150" s="21"/>
      <c r="Q150" s="23"/>
      <c r="T150" s="25"/>
    </row>
    <row r="151" spans="1:22" s="20" customFormat="1" ht="15" customHeight="1">
      <c r="A151" s="26" t="s">
        <v>167</v>
      </c>
      <c r="B151" s="20">
        <f t="shared" si="5"/>
        <v>37</v>
      </c>
      <c r="C151" s="20">
        <v>26</v>
      </c>
      <c r="E151" s="20">
        <v>3.6999999999999998E-2</v>
      </c>
      <c r="F151" s="24"/>
      <c r="J151" s="23"/>
      <c r="K151" s="23"/>
      <c r="L151" s="23"/>
      <c r="M151" s="23"/>
      <c r="P151" s="21"/>
      <c r="Q151" s="23"/>
      <c r="R151" s="27" t="s">
        <v>134</v>
      </c>
      <c r="S151" s="27" t="s">
        <v>122</v>
      </c>
      <c r="T151" s="28" t="s">
        <v>123</v>
      </c>
    </row>
    <row r="152" spans="1:22" s="20" customFormat="1" ht="15" customHeight="1">
      <c r="A152" s="20" t="s">
        <v>179</v>
      </c>
      <c r="B152" s="20">
        <f t="shared" si="5"/>
        <v>33</v>
      </c>
      <c r="C152" s="20">
        <v>27</v>
      </c>
      <c r="E152" s="20">
        <v>3.3000000000000002E-2</v>
      </c>
      <c r="F152" s="24"/>
      <c r="J152" s="23"/>
      <c r="K152" s="23"/>
      <c r="L152" s="23"/>
      <c r="M152" s="23"/>
      <c r="P152" s="21"/>
      <c r="Q152" s="23"/>
      <c r="R152" s="20">
        <v>0.10199999999999999</v>
      </c>
      <c r="S152" s="20">
        <v>0.12</v>
      </c>
      <c r="T152" s="25">
        <v>0.1</v>
      </c>
    </row>
    <row r="153" spans="1:22" s="20" customFormat="1" ht="15" customHeight="1">
      <c r="A153" s="20" t="s">
        <v>173</v>
      </c>
      <c r="B153" s="20">
        <f t="shared" si="5"/>
        <v>32</v>
      </c>
      <c r="C153" s="20">
        <v>28</v>
      </c>
      <c r="E153" s="20">
        <v>3.2000000000000001E-2</v>
      </c>
      <c r="F153" s="24"/>
      <c r="J153" s="23"/>
      <c r="K153" s="23"/>
      <c r="L153" s="23"/>
      <c r="M153" s="23"/>
      <c r="P153" s="21"/>
      <c r="Q153" s="23"/>
      <c r="T153" s="25"/>
    </row>
    <row r="154" spans="1:22" s="20" customFormat="1" ht="15" customHeight="1">
      <c r="A154" s="20" t="s">
        <v>173</v>
      </c>
      <c r="B154" s="20">
        <f t="shared" si="5"/>
        <v>28</v>
      </c>
      <c r="C154" s="20">
        <v>29</v>
      </c>
      <c r="E154" s="20">
        <v>2.8000000000000001E-2</v>
      </c>
      <c r="F154" s="24"/>
      <c r="J154" s="23"/>
      <c r="K154" s="23"/>
      <c r="L154" s="23"/>
      <c r="M154" s="23"/>
      <c r="P154" s="21"/>
      <c r="Q154" s="23"/>
      <c r="T154" s="25"/>
    </row>
    <row r="155" spans="1:22" s="20" customFormat="1" ht="15" customHeight="1">
      <c r="A155" s="20" t="s">
        <v>160</v>
      </c>
      <c r="B155" s="20">
        <f t="shared" si="5"/>
        <v>27</v>
      </c>
      <c r="C155" s="20">
        <v>30</v>
      </c>
      <c r="E155" s="20">
        <v>2.7E-2</v>
      </c>
      <c r="F155" s="24"/>
      <c r="J155" s="23"/>
      <c r="K155" s="23"/>
      <c r="L155" s="23"/>
      <c r="M155" s="23"/>
      <c r="P155" s="21"/>
      <c r="Q155" s="23"/>
      <c r="R155" s="20" t="s">
        <v>153</v>
      </c>
      <c r="S155" s="20" t="s">
        <v>154</v>
      </c>
      <c r="T155" s="25" t="s">
        <v>155</v>
      </c>
    </row>
    <row r="156" spans="1:22" ht="23" customHeight="1">
      <c r="A156" s="9"/>
      <c r="R156" t="s">
        <v>148</v>
      </c>
      <c r="S156" t="s">
        <v>149</v>
      </c>
      <c r="T156" s="4" t="s">
        <v>150</v>
      </c>
      <c r="V156" s="20"/>
    </row>
    <row r="157" spans="1:22" ht="23" customHeight="1">
      <c r="A157" s="9"/>
      <c r="R157" t="s">
        <v>152</v>
      </c>
      <c r="S157" s="4" t="s">
        <v>151</v>
      </c>
      <c r="V157" s="20"/>
    </row>
    <row r="158" spans="1:22" ht="23" customHeight="1">
      <c r="R158">
        <v>0.11600000000000001</v>
      </c>
      <c r="S158">
        <v>0.11799999999999999</v>
      </c>
      <c r="T158" s="4">
        <v>4.5</v>
      </c>
      <c r="V158" s="20"/>
    </row>
    <row r="159" spans="1:22" ht="23" customHeight="1">
      <c r="B159" s="10">
        <v>2014</v>
      </c>
      <c r="C159" s="10">
        <v>2015</v>
      </c>
      <c r="D159" s="10">
        <v>2016</v>
      </c>
      <c r="R159">
        <v>0.11700000000000001</v>
      </c>
      <c r="S159">
        <v>0.14399999999999999</v>
      </c>
      <c r="T159" s="4">
        <f>14.4*0.76</f>
        <v>10.944000000000001</v>
      </c>
      <c r="V159" s="20"/>
    </row>
    <row r="160" spans="1:22" ht="23" customHeight="1">
      <c r="A160" s="9" t="s">
        <v>39</v>
      </c>
      <c r="B160" t="e">
        <f>B164+B165+B166+B167+B168+#REF!+B169</f>
        <v>#REF!</v>
      </c>
      <c r="C160">
        <v>91</v>
      </c>
      <c r="D160" s="1">
        <v>180</v>
      </c>
      <c r="R160">
        <v>0.13500000000000001</v>
      </c>
      <c r="S160">
        <v>0.224</v>
      </c>
      <c r="T160" s="4">
        <v>11</v>
      </c>
      <c r="V160" s="20"/>
    </row>
    <row r="161" spans="1:20" ht="23" customHeight="1">
      <c r="A161" s="9" t="s">
        <v>40</v>
      </c>
      <c r="B161">
        <v>71</v>
      </c>
      <c r="C161" s="4">
        <f>((85*71)+(L3+L4+L5+L6+L7+M7+M6+M5+M4+M8+L8+M3))/C160</f>
        <v>69.576153846153844</v>
      </c>
      <c r="D161" s="4">
        <v>25.7</v>
      </c>
      <c r="R161">
        <v>0.1</v>
      </c>
      <c r="S161" s="17">
        <v>0.17</v>
      </c>
      <c r="T161" s="4">
        <f>1.1*10.3</f>
        <v>11.330000000000002</v>
      </c>
    </row>
    <row r="162" spans="1:20" ht="23" customHeight="1">
      <c r="A162" s="9" t="s">
        <v>142</v>
      </c>
      <c r="C162" s="4"/>
      <c r="D162" s="4">
        <v>72</v>
      </c>
      <c r="R162">
        <v>0.114</v>
      </c>
      <c r="S162">
        <v>0.254</v>
      </c>
      <c r="T162" s="4">
        <f>0.1*309.7</f>
        <v>30.97</v>
      </c>
    </row>
    <row r="163" spans="1:20" ht="23" customHeight="1">
      <c r="A163" s="9" t="s">
        <v>140</v>
      </c>
      <c r="C163" s="4"/>
      <c r="D163">
        <v>38</v>
      </c>
      <c r="E163" s="9" t="s">
        <v>140</v>
      </c>
      <c r="R163">
        <v>0.13200000000000001</v>
      </c>
      <c r="S163">
        <v>0.443</v>
      </c>
      <c r="T163" s="4">
        <f>33.2*1.4</f>
        <v>46.480000000000004</v>
      </c>
    </row>
    <row r="164" spans="1:20" ht="23" customHeight="1">
      <c r="A164" s="9" t="s">
        <v>139</v>
      </c>
      <c r="B164">
        <v>23</v>
      </c>
      <c r="C164">
        <v>23</v>
      </c>
      <c r="D164">
        <v>19</v>
      </c>
      <c r="E164" s="9" t="s">
        <v>139</v>
      </c>
      <c r="R164">
        <v>0.14099999999999999</v>
      </c>
      <c r="S164">
        <v>7.46</v>
      </c>
      <c r="T164" s="4">
        <v>64.5</v>
      </c>
    </row>
    <row r="165" spans="1:20" ht="23" customHeight="1">
      <c r="A165" s="9" t="s">
        <v>34</v>
      </c>
      <c r="B165">
        <v>35</v>
      </c>
      <c r="C165">
        <v>37</v>
      </c>
      <c r="D165">
        <v>59</v>
      </c>
      <c r="E165" s="9" t="s">
        <v>34</v>
      </c>
      <c r="R165">
        <v>0.14699999999999999</v>
      </c>
      <c r="S165">
        <v>0.443</v>
      </c>
      <c r="T165" s="4">
        <v>123.2</v>
      </c>
    </row>
    <row r="166" spans="1:20" ht="23" customHeight="1">
      <c r="A166" s="9" t="s">
        <v>35</v>
      </c>
      <c r="B166">
        <v>21</v>
      </c>
      <c r="C166">
        <v>24</v>
      </c>
      <c r="D166">
        <v>46</v>
      </c>
      <c r="E166" s="9" t="s">
        <v>35</v>
      </c>
      <c r="R166">
        <v>0.17399999999999999</v>
      </c>
      <c r="S166">
        <v>1.2130000000000001</v>
      </c>
      <c r="T166" s="4">
        <v>307.7</v>
      </c>
    </row>
    <row r="167" spans="1:20" ht="23" customHeight="1">
      <c r="A167" s="9" t="s">
        <v>37</v>
      </c>
      <c r="B167">
        <v>3</v>
      </c>
      <c r="C167">
        <v>4</v>
      </c>
      <c r="D167">
        <v>15</v>
      </c>
      <c r="E167" s="9" t="s">
        <v>37</v>
      </c>
      <c r="R167">
        <v>0.17100000000000001</v>
      </c>
      <c r="S167">
        <v>1.7190000000000001</v>
      </c>
      <c r="T167" s="4">
        <v>309.7</v>
      </c>
    </row>
    <row r="168" spans="1:20" ht="23" customHeight="1">
      <c r="A168" t="s">
        <v>36</v>
      </c>
      <c r="B168">
        <v>2</v>
      </c>
      <c r="C168">
        <v>2</v>
      </c>
      <c r="D168">
        <v>2</v>
      </c>
      <c r="E168" t="s">
        <v>36</v>
      </c>
      <c r="R168">
        <v>0.21299999999999999</v>
      </c>
      <c r="S168">
        <v>1.43</v>
      </c>
      <c r="T168" s="4">
        <v>476</v>
      </c>
    </row>
    <row r="169" spans="1:20" ht="23" customHeight="1">
      <c r="A169" t="s">
        <v>38</v>
      </c>
      <c r="B169">
        <v>1</v>
      </c>
      <c r="C169">
        <v>1</v>
      </c>
      <c r="D169">
        <v>1</v>
      </c>
      <c r="E169" t="s">
        <v>38</v>
      </c>
      <c r="R169">
        <v>0.251</v>
      </c>
      <c r="S169">
        <v>4.24</v>
      </c>
      <c r="T169" s="4">
        <v>625</v>
      </c>
    </row>
    <row r="170" spans="1:20" ht="23" customHeight="1">
      <c r="A170" s="9"/>
      <c r="R170">
        <v>0.28999999999999998</v>
      </c>
      <c r="S170">
        <v>3.198</v>
      </c>
      <c r="T170" s="4">
        <v>934.8</v>
      </c>
    </row>
    <row r="171" spans="1:20" ht="23" customHeight="1">
      <c r="A171" t="s">
        <v>66</v>
      </c>
      <c r="B171">
        <f>B169+B168+B167+B166+B165+B164+B163</f>
        <v>85</v>
      </c>
      <c r="C171">
        <f>C169+C168+C167+C166+C165+C164+C163</f>
        <v>91</v>
      </c>
      <c r="D171">
        <f>D169+D168+D167+D166+D165+D164+D163</f>
        <v>180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Japan data</vt:lpstr>
      <vt:lpstr>Sheet1</vt:lpstr>
    </vt:vector>
  </TitlesOfParts>
  <Company>Boston Chemical Data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Kaltofen</dc:creator>
  <cp:lastModifiedBy>Marco Kaltofen</cp:lastModifiedBy>
  <cp:lastPrinted>2012-08-03T19:38:45Z</cp:lastPrinted>
  <dcterms:created xsi:type="dcterms:W3CDTF">2012-04-18T18:52:20Z</dcterms:created>
  <dcterms:modified xsi:type="dcterms:W3CDTF">2017-08-25T20:01:17Z</dcterms:modified>
</cp:coreProperties>
</file>